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7175" windowHeight="9435"/>
  </bookViews>
  <sheets>
    <sheet name="Sheet1" sheetId="1" r:id="rId1"/>
    <sheet name="Expedintures" sheetId="5" r:id="rId2"/>
  </sheets>
  <calcPr calcId="145621"/>
</workbook>
</file>

<file path=xl/calcChain.xml><?xml version="1.0" encoding="utf-8"?>
<calcChain xmlns="http://schemas.openxmlformats.org/spreadsheetml/2006/main">
  <c r="E43" i="1" l="1"/>
  <c r="E40" i="1"/>
  <c r="E39" i="1"/>
  <c r="E38" i="1"/>
  <c r="E36" i="1"/>
  <c r="E35" i="1"/>
  <c r="E33" i="1"/>
  <c r="E34" i="1"/>
  <c r="E32" i="1"/>
  <c r="E31" i="1"/>
  <c r="E29" i="1"/>
  <c r="E28" i="1"/>
  <c r="E27" i="1"/>
  <c r="E26" i="1"/>
  <c r="E24" i="1"/>
  <c r="E23" i="1"/>
  <c r="E22" i="1"/>
  <c r="E21" i="1"/>
  <c r="E20" i="1"/>
  <c r="E12" i="1"/>
  <c r="E11" i="1"/>
  <c r="E10" i="1"/>
  <c r="E8" i="1"/>
  <c r="E7" i="1"/>
  <c r="E6" i="1"/>
  <c r="E5" i="1"/>
  <c r="E4" i="1"/>
  <c r="E86" i="1"/>
  <c r="E85" i="1"/>
  <c r="E84" i="1"/>
  <c r="E83" i="1"/>
  <c r="E82" i="1"/>
  <c r="E81" i="1"/>
  <c r="E72" i="1"/>
  <c r="E73" i="1"/>
  <c r="E74" i="1"/>
  <c r="E75" i="1"/>
  <c r="E76" i="1"/>
  <c r="E77" i="1"/>
  <c r="E78" i="1"/>
  <c r="E79" i="1"/>
  <c r="E70" i="1"/>
  <c r="E71" i="1"/>
  <c r="E65" i="1"/>
  <c r="E66" i="1"/>
  <c r="E69" i="1"/>
  <c r="E68" i="1"/>
  <c r="E46" i="5" l="1"/>
  <c r="F45" i="5" s="1"/>
  <c r="F51" i="5" s="1"/>
  <c r="G46" i="5"/>
  <c r="E47" i="5"/>
  <c r="G47" i="5"/>
  <c r="E48" i="5"/>
  <c r="E49" i="5"/>
  <c r="G49" i="5"/>
  <c r="E50" i="5"/>
  <c r="G51" i="5"/>
  <c r="F53" i="5"/>
  <c r="F54" i="5"/>
  <c r="F55" i="5" s="1"/>
  <c r="F70" i="5"/>
  <c r="G70" i="5"/>
  <c r="E112" i="5"/>
  <c r="E109" i="5"/>
  <c r="E117" i="5"/>
  <c r="E116" i="5"/>
  <c r="E114" i="5"/>
  <c r="E115" i="5"/>
  <c r="E113" i="5"/>
  <c r="G107" i="5"/>
  <c r="E66" i="5"/>
  <c r="G76" i="5"/>
  <c r="E93" i="5"/>
  <c r="E92" i="5"/>
  <c r="E91" i="5"/>
  <c r="G90" i="5"/>
  <c r="G119" i="5" s="1"/>
  <c r="G58" i="5"/>
  <c r="G61" i="5"/>
  <c r="G43" i="5"/>
  <c r="E35" i="5"/>
  <c r="E40" i="5"/>
  <c r="E26" i="5"/>
  <c r="E31" i="5"/>
  <c r="E30" i="5"/>
  <c r="E29" i="5"/>
  <c r="E39" i="5"/>
  <c r="E32" i="5"/>
  <c r="E27" i="5"/>
  <c r="E34" i="5"/>
  <c r="E37" i="5"/>
  <c r="E38" i="5"/>
  <c r="E42" i="5"/>
  <c r="E36" i="5"/>
  <c r="E28" i="5"/>
  <c r="E21" i="5"/>
  <c r="E89" i="5"/>
  <c r="E88" i="5"/>
  <c r="E87" i="5"/>
  <c r="E118" i="5"/>
  <c r="E111" i="5"/>
  <c r="E110" i="5"/>
  <c r="E108" i="5"/>
  <c r="E106" i="5"/>
  <c r="E105" i="5"/>
  <c r="E104" i="5"/>
  <c r="E103" i="5"/>
  <c r="E102" i="5"/>
  <c r="E101" i="5"/>
  <c r="E100" i="5"/>
  <c r="E99" i="5"/>
  <c r="E98" i="5"/>
  <c r="E97" i="5"/>
  <c r="E96" i="5"/>
  <c r="E95" i="5"/>
  <c r="E81" i="5"/>
  <c r="E80" i="5"/>
  <c r="E79" i="5"/>
  <c r="E68" i="5"/>
  <c r="E67" i="5"/>
  <c r="E65" i="5"/>
  <c r="E64" i="5"/>
  <c r="F61" i="5"/>
  <c r="F57" i="5"/>
  <c r="F58" i="5" s="1"/>
  <c r="E41" i="5"/>
  <c r="E33" i="5"/>
  <c r="E24" i="5"/>
  <c r="E23" i="5"/>
  <c r="E22" i="5"/>
  <c r="E20" i="5"/>
  <c r="E12" i="5"/>
  <c r="E11" i="5"/>
  <c r="E10" i="5"/>
  <c r="E8" i="5"/>
  <c r="E7" i="5"/>
  <c r="E6" i="5"/>
  <c r="E5" i="5"/>
  <c r="E4" i="5"/>
  <c r="F19" i="1"/>
  <c r="E54" i="1"/>
  <c r="E53" i="1"/>
  <c r="E52" i="1"/>
  <c r="E51" i="1"/>
  <c r="F49" i="1" s="1"/>
  <c r="F58" i="1" s="1"/>
  <c r="E50" i="1"/>
  <c r="F43" i="1"/>
  <c r="F44" i="1" s="1"/>
  <c r="E63" i="1"/>
  <c r="E62" i="1"/>
  <c r="E61" i="1"/>
  <c r="F67" i="1"/>
  <c r="F54" i="1"/>
  <c r="F53" i="1"/>
  <c r="F52" i="1"/>
  <c r="F51" i="1"/>
  <c r="F50" i="1"/>
  <c r="F47" i="1"/>
  <c r="F64" i="1" l="1"/>
  <c r="F9" i="1"/>
  <c r="F3" i="1"/>
  <c r="G120" i="5"/>
  <c r="F107" i="5"/>
  <c r="F25" i="1"/>
  <c r="F30" i="1"/>
  <c r="F37" i="1"/>
  <c r="F25" i="5"/>
  <c r="F78" i="5"/>
  <c r="F63" i="5"/>
  <c r="F76" i="5" s="1"/>
  <c r="F90" i="5"/>
  <c r="F3" i="5"/>
  <c r="F19" i="5"/>
  <c r="F9" i="5"/>
  <c r="F94" i="5"/>
  <c r="F86" i="5"/>
  <c r="F80" i="1"/>
  <c r="F60" i="1"/>
  <c r="F87" i="1" l="1"/>
  <c r="F41" i="1"/>
  <c r="F43" i="5"/>
  <c r="F119" i="5"/>
  <c r="F88" i="1" l="1"/>
  <c r="F120" i="5"/>
</calcChain>
</file>

<file path=xl/comments1.xml><?xml version="1.0" encoding="utf-8"?>
<comments xmlns="http://schemas.openxmlformats.org/spreadsheetml/2006/main">
  <authors>
    <author>Frida</author>
  </authors>
  <commentList>
    <comment ref="G107" authorId="0">
      <text>
        <r>
          <rPr>
            <b/>
            <sz val="9"/>
            <color indexed="81"/>
            <rFont val="Tahoma"/>
            <charset val="1"/>
          </rPr>
          <t>Frida:</t>
        </r>
        <r>
          <rPr>
            <sz val="9"/>
            <color indexed="81"/>
            <rFont val="Tahoma"/>
            <charset val="1"/>
          </rPr>
          <t xml:space="preserve">
$153.51 on Gifts</t>
        </r>
      </text>
    </comment>
  </commentList>
</comments>
</file>

<file path=xl/sharedStrings.xml><?xml version="1.0" encoding="utf-8"?>
<sst xmlns="http://schemas.openxmlformats.org/spreadsheetml/2006/main" count="363" uniqueCount="221">
  <si>
    <t>Item</t>
  </si>
  <si>
    <t>Cost Breakdown</t>
  </si>
  <si>
    <t>Subtotal</t>
  </si>
  <si>
    <t>Contracts</t>
  </si>
  <si>
    <t>Total</t>
  </si>
  <si>
    <t>Chips</t>
  </si>
  <si>
    <t>Misc.</t>
  </si>
  <si>
    <t>Cookies</t>
  </si>
  <si>
    <t>BBQ Beef</t>
  </si>
  <si>
    <t>Garden Salad</t>
  </si>
  <si>
    <t>Carne Asada</t>
  </si>
  <si>
    <t>L &amp; L</t>
  </si>
  <si>
    <t>BBQ Chicken</t>
  </si>
  <si>
    <t xml:space="preserve">Macoroni Salad </t>
  </si>
  <si>
    <t>Rice</t>
  </si>
  <si>
    <t xml:space="preserve">Enchilladas </t>
  </si>
  <si>
    <t>Tortilla</t>
  </si>
  <si>
    <t>Beans</t>
  </si>
  <si>
    <t>Canned Soda</t>
  </si>
  <si>
    <t>2-Liter Soda</t>
  </si>
  <si>
    <t>Water (Gallon)</t>
  </si>
  <si>
    <t>Water (Individual)</t>
  </si>
  <si>
    <t>Napkins</t>
  </si>
  <si>
    <t>Spoon/Forks</t>
  </si>
  <si>
    <t>Cups</t>
  </si>
  <si>
    <t>Licorice</t>
  </si>
  <si>
    <t>Popcorn</t>
  </si>
  <si>
    <t xml:space="preserve">Salt &amp; Pepper Cicken Wings </t>
  </si>
  <si>
    <t xml:space="preserve">Steamed Rice </t>
  </si>
  <si>
    <t>Reserved Parking</t>
  </si>
  <si>
    <t>Directional Signs</t>
  </si>
  <si>
    <t>Block-off</t>
  </si>
  <si>
    <t>SMART &amp; FINAL</t>
  </si>
  <si>
    <t>SPECIAL EVENTS</t>
  </si>
  <si>
    <t>GOLDEN CHOPSTICKS</t>
  </si>
  <si>
    <t>MANILA FASTFOOD</t>
  </si>
  <si>
    <t>UCSD BOOKSTORE</t>
  </si>
  <si>
    <t>Bags</t>
  </si>
  <si>
    <t>Pocket Folders</t>
  </si>
  <si>
    <t>Nametag Holders</t>
  </si>
  <si>
    <t>Business Cards</t>
  </si>
  <si>
    <t>VALLARTA</t>
  </si>
  <si>
    <t>Chairs</t>
  </si>
  <si>
    <t>Round Tables - 60"</t>
  </si>
  <si>
    <t>Trash Cans</t>
  </si>
  <si>
    <t>Delivery Charge</t>
  </si>
  <si>
    <t>Housing</t>
  </si>
  <si>
    <t>$28.84/person</t>
  </si>
  <si>
    <t>1 Office</t>
  </si>
  <si>
    <t>$20/day x 3 x 4</t>
  </si>
  <si>
    <t>HOUSING, DINING, &amp; HOSPITALITY</t>
  </si>
  <si>
    <t>Food</t>
  </si>
  <si>
    <t>$7.50 x 1</t>
  </si>
  <si>
    <t>$12.00 x 3</t>
  </si>
  <si>
    <t>$33.25/day x 2</t>
  </si>
  <si>
    <t>$50.00/day x 2</t>
  </si>
  <si>
    <t>$13.50/day x 5 spaces x 2 days</t>
  </si>
  <si>
    <t>Dance</t>
  </si>
  <si>
    <t>Courtyard &amp; Dining Room Rental</t>
  </si>
  <si>
    <t>Personnel</t>
  </si>
  <si>
    <t>7/24 Banquet</t>
  </si>
  <si>
    <t>Early Move-in - 15 staff</t>
  </si>
  <si>
    <t>19 staff</t>
  </si>
  <si>
    <t>$9.50/person x 15 x 100 hrs</t>
  </si>
  <si>
    <t>4 passenger Flat Bed</t>
  </si>
  <si>
    <t>FACILITIES MANAGEMENT</t>
  </si>
  <si>
    <t>INTERNATIONAL CENTER</t>
  </si>
  <si>
    <t>CART MART</t>
  </si>
  <si>
    <t>(15) Resource Advisors</t>
  </si>
  <si>
    <t>9.50/person x 3 x 150 hrs</t>
  </si>
  <si>
    <t>(3) Coordinators</t>
  </si>
  <si>
    <t>$1.27 x 135</t>
  </si>
  <si>
    <t>$9.90 x 8</t>
  </si>
  <si>
    <t>$9.63 x 6</t>
  </si>
  <si>
    <t>Recycle Bin</t>
  </si>
  <si>
    <t>$9.63 x 1</t>
  </si>
  <si>
    <t>Rectangular Tables - 8' x 30"</t>
  </si>
  <si>
    <t>$150 + $10 UEO processing</t>
  </si>
  <si>
    <t>DJ (GEORGE ESCANDON)</t>
  </si>
  <si>
    <t>$10.73 x 17</t>
  </si>
  <si>
    <t>5"x8" Perforated Pads</t>
  </si>
  <si>
    <t>Blue Tape</t>
  </si>
  <si>
    <t>100 x $.99 + tax</t>
  </si>
  <si>
    <t>11 x $5.29 + tax</t>
  </si>
  <si>
    <t>5 x $5.29 + tax</t>
  </si>
  <si>
    <t>1 x $17.70 + tax</t>
  </si>
  <si>
    <t>STAPLES</t>
  </si>
  <si>
    <t>$0.25 x 120 + tax</t>
  </si>
  <si>
    <t>MARKTPLACE</t>
  </si>
  <si>
    <t>4 x $5.29 + tax</t>
  </si>
  <si>
    <t>Certificates</t>
  </si>
  <si>
    <t>2 x $20.00</t>
  </si>
  <si>
    <t>Clipboards</t>
  </si>
  <si>
    <t>Marker Sets</t>
  </si>
  <si>
    <t>Black Dry Erase Markers</t>
  </si>
  <si>
    <t>Colored Dry Erase Markers</t>
  </si>
  <si>
    <t>Pencil Holders</t>
  </si>
  <si>
    <t>$1.00 x 20 + tax</t>
  </si>
  <si>
    <t>5 sets x $4.00 + tax</t>
  </si>
  <si>
    <t>17 sets x $5.00 + tax</t>
  </si>
  <si>
    <t>(2) Large Post-it Pads</t>
  </si>
  <si>
    <t>15 x $1.29 + tax</t>
  </si>
  <si>
    <t>25 packs x $5.00 + tax</t>
  </si>
  <si>
    <t>4 sets x $4.00 + tax</t>
  </si>
  <si>
    <t>Construction Paper</t>
  </si>
  <si>
    <t>Elmer's Glue</t>
  </si>
  <si>
    <t>15 packs x $3.00</t>
  </si>
  <si>
    <t>Pens</t>
  </si>
  <si>
    <t>Ball-point Pens</t>
  </si>
  <si>
    <t>20 x $1.00 + tax</t>
  </si>
  <si>
    <t>1 x $30.00 + tax</t>
  </si>
  <si>
    <t>15 x $2.00 + tax</t>
  </si>
  <si>
    <t>Roll of Butcher Paper</t>
  </si>
  <si>
    <t>1 x 50.00</t>
  </si>
  <si>
    <t>11 packs x $1.00</t>
  </si>
  <si>
    <t>6 packs x $8.00</t>
  </si>
  <si>
    <t>$195.50/person</t>
  </si>
  <si>
    <t>96 students</t>
  </si>
  <si>
    <t>T-shirts</t>
  </si>
  <si>
    <t>LA JOLLA DESIGN</t>
  </si>
  <si>
    <t>$6.50 x 175</t>
  </si>
  <si>
    <t>Facility Rental</t>
  </si>
  <si>
    <t>Katsu</t>
  </si>
  <si>
    <t>3 trays x $32 + tax</t>
  </si>
  <si>
    <t>Lumpiang Shanghai</t>
  </si>
  <si>
    <t>Fried Vegetable Lumpia</t>
  </si>
  <si>
    <t>1 tray x $50 + tax</t>
  </si>
  <si>
    <t>1 full tray x $20 + tax</t>
  </si>
  <si>
    <t>75 enchilladas</t>
  </si>
  <si>
    <t>Shrimp Chowmein</t>
  </si>
  <si>
    <t>Vegetable Chowmein</t>
  </si>
  <si>
    <t>Shrimp Fried Rice</t>
  </si>
  <si>
    <t>Vegetable Fried Rice</t>
  </si>
  <si>
    <t>3 full trays x $66 + tax</t>
  </si>
  <si>
    <t>1 full trays x $70.95 + tax</t>
  </si>
  <si>
    <t>2 full trays x $65.95 + tax</t>
  </si>
  <si>
    <t>2 full trays x $89.95 + tax</t>
  </si>
  <si>
    <t>1 full tray x $44.95 + tax</t>
  </si>
  <si>
    <t>2 full trays x $35.95</t>
  </si>
  <si>
    <t>1 Half-Tray</t>
  </si>
  <si>
    <t>2 Half-Trays</t>
  </si>
  <si>
    <t>1 Half-Tray x $20 + tax</t>
  </si>
  <si>
    <t>1 Half-Tray x $28 + tax</t>
  </si>
  <si>
    <t>1 Half-Tray x $18.50 + tax</t>
  </si>
  <si>
    <t>Actual Expense</t>
  </si>
  <si>
    <t>FILIPINO DESSERTS</t>
  </si>
  <si>
    <t>PARTY CITY</t>
  </si>
  <si>
    <t>Rectangular Table Plastic Cover</t>
  </si>
  <si>
    <t>Round Table Plastic Cover</t>
  </si>
  <si>
    <t>Roll of Plastic Cover</t>
  </si>
  <si>
    <t>1 x $14.99 + tax</t>
  </si>
  <si>
    <t>17 x $2.99 + tax</t>
  </si>
  <si>
    <t>8 x $1.99 + tax</t>
  </si>
  <si>
    <t>$6.00 x 17</t>
  </si>
  <si>
    <t>Granola Bars</t>
  </si>
  <si>
    <t>$10.00 x 2</t>
  </si>
  <si>
    <t>Fruit Snacks</t>
  </si>
  <si>
    <t>$10.00 x 3</t>
  </si>
  <si>
    <t>$2.00 x 6</t>
  </si>
  <si>
    <t>Cup of Noodles</t>
  </si>
  <si>
    <t>$4.00 x 5</t>
  </si>
  <si>
    <t>Cheeze-it</t>
  </si>
  <si>
    <t>$15.00 x 3</t>
  </si>
  <si>
    <t>$2.50 x 6</t>
  </si>
  <si>
    <t>Nacho Cheese</t>
  </si>
  <si>
    <t>$4.00 x 3</t>
  </si>
  <si>
    <t>$7.50 x 3</t>
  </si>
  <si>
    <t>$10.00 x 4</t>
  </si>
  <si>
    <t>$9.00 x 3</t>
  </si>
  <si>
    <t>Jalapenos</t>
  </si>
  <si>
    <t>$9.00 x 1</t>
  </si>
  <si>
    <t>$2.00 x 30</t>
  </si>
  <si>
    <t>Plates</t>
  </si>
  <si>
    <t>$10.00 x 8</t>
  </si>
  <si>
    <t>Toner</t>
  </si>
  <si>
    <t>$80.00 x 4 + tax</t>
  </si>
  <si>
    <t>IMPRINTS</t>
  </si>
  <si>
    <t>PROGRAMS</t>
  </si>
  <si>
    <t>$</t>
  </si>
  <si>
    <t>REGISTRAR</t>
  </si>
  <si>
    <t>Warren Lecture Hall</t>
  </si>
  <si>
    <t>$6 x 6</t>
  </si>
  <si>
    <t>Center Hall</t>
  </si>
  <si>
    <t>$12 x 3, $10 x 1, $6 x 1</t>
  </si>
  <si>
    <t>Ledden Hall</t>
  </si>
  <si>
    <t>$24 x 2</t>
  </si>
  <si>
    <t>Classrooms</t>
  </si>
  <si>
    <t>VIP Meals</t>
  </si>
  <si>
    <t>$15 x 20</t>
  </si>
  <si>
    <t>Mugs</t>
  </si>
  <si>
    <t>8 x $5.00 + tax</t>
  </si>
  <si>
    <t>8 x $16.00 + tax</t>
  </si>
  <si>
    <t>Socks</t>
  </si>
  <si>
    <t>Batteries</t>
  </si>
  <si>
    <t>1 x $20.00 + tax</t>
  </si>
  <si>
    <t>Tape Label</t>
  </si>
  <si>
    <t>2 x $10.00 + tax</t>
  </si>
  <si>
    <t>2 x $13.00</t>
  </si>
  <si>
    <t>Certificate Parchment Paper</t>
  </si>
  <si>
    <t>11 x $1.29 + tax</t>
  </si>
  <si>
    <t xml:space="preserve">DJ </t>
  </si>
  <si>
    <t>$6.50 x 175 + $40 set-up + tax</t>
  </si>
  <si>
    <t>75 enchilladas + tax</t>
  </si>
  <si>
    <t>75 + tax</t>
  </si>
  <si>
    <t>2 Half-Trays + tax</t>
  </si>
  <si>
    <t>2 full trays x $35.95 + tax</t>
  </si>
  <si>
    <t>1 Half-Tray + tax</t>
  </si>
  <si>
    <t>$1.25 x 15 + tax</t>
  </si>
  <si>
    <t>$3.00 x 10 + tax</t>
  </si>
  <si>
    <t>$2.50 x4 + tax</t>
  </si>
  <si>
    <t>$6.00 x 4 + tax</t>
  </si>
  <si>
    <t>$7.50 x 1 + tax</t>
  </si>
  <si>
    <t>$2.50 x 4 + tax</t>
  </si>
  <si>
    <t>$3.00 x 5 + tax</t>
  </si>
  <si>
    <t>$6.00 x 3 + tax</t>
  </si>
  <si>
    <t>$12.00 x 3 + tax</t>
  </si>
  <si>
    <t>$4.00 x 2 + tax</t>
  </si>
  <si>
    <t>6 packs x $8.00 + tax</t>
  </si>
  <si>
    <t>11 packs x $1.00 + tax</t>
  </si>
  <si>
    <t>1 x 50.00 + tax</t>
  </si>
  <si>
    <t>15 packs x $3.00 +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</si>
</sst>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thin">
        <color rgb="FF000000"/>
      </right>
      <top style="medium">
        <color indexed="64"/>
      </top>
      <bottom style="thick">
        <color rgb="FF000000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/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indexed="64"/>
      </right>
      <top style="thick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3">
    <xf numFmtId="0" fontId="0" fillId="0" borderId="0" xfId="0"/>
    <xf numFmtId="0" fontId="3" fillId="0" borderId="3" xfId="0" applyFont="1" applyBorder="1" applyAlignment="1"/>
    <xf numFmtId="0" fontId="3" fillId="0" borderId="1" xfId="0" applyFont="1" applyBorder="1" applyAlignment="1"/>
    <xf numFmtId="0" fontId="3" fillId="0" borderId="0" xfId="0" applyFont="1"/>
    <xf numFmtId="0" fontId="3" fillId="0" borderId="4" xfId="0" applyFont="1" applyBorder="1" applyAlignment="1"/>
    <xf numFmtId="0" fontId="3" fillId="0" borderId="2" xfId="0" applyFont="1" applyBorder="1" applyAlignment="1"/>
    <xf numFmtId="0" fontId="3" fillId="0" borderId="3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4" fontId="3" fillId="0" borderId="0" xfId="0" applyNumberFormat="1" applyFont="1"/>
    <xf numFmtId="44" fontId="3" fillId="0" borderId="0" xfId="0" applyNumberFormat="1" applyFont="1"/>
    <xf numFmtId="0" fontId="3" fillId="0" borderId="0" xfId="0" applyFont="1" applyAlignment="1"/>
    <xf numFmtId="164" fontId="3" fillId="0" borderId="0" xfId="1" applyNumberFormat="1" applyFont="1" applyAlignment="1"/>
    <xf numFmtId="0" fontId="3" fillId="0" borderId="0" xfId="0" applyFont="1" applyBorder="1" applyAlignment="1"/>
    <xf numFmtId="0" fontId="2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2" fillId="0" borderId="10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8" xfId="0" applyFont="1" applyBorder="1" applyAlignment="1">
      <alignment horizontal="left"/>
    </xf>
    <xf numFmtId="0" fontId="2" fillId="0" borderId="6" xfId="0" applyFont="1" applyBorder="1"/>
    <xf numFmtId="0" fontId="2" fillId="0" borderId="13" xfId="0" applyFont="1" applyBorder="1"/>
    <xf numFmtId="0" fontId="3" fillId="0" borderId="15" xfId="0" applyFont="1" applyBorder="1" applyAlignment="1"/>
    <xf numFmtId="0" fontId="3" fillId="0" borderId="16" xfId="0" applyFont="1" applyBorder="1"/>
    <xf numFmtId="0" fontId="2" fillId="0" borderId="14" xfId="0" applyFont="1" applyBorder="1"/>
    <xf numFmtId="0" fontId="2" fillId="0" borderId="18" xfId="0" applyFont="1" applyBorder="1" applyAlignment="1"/>
    <xf numFmtId="0" fontId="3" fillId="0" borderId="20" xfId="0" applyFont="1" applyBorder="1" applyAlignment="1"/>
    <xf numFmtId="6" fontId="3" fillId="0" borderId="17" xfId="0" applyNumberFormat="1" applyFont="1" applyBorder="1" applyAlignment="1">
      <alignment horizontal="left"/>
    </xf>
    <xf numFmtId="0" fontId="3" fillId="0" borderId="23" xfId="0" applyFont="1" applyBorder="1" applyAlignment="1"/>
    <xf numFmtId="0" fontId="3" fillId="0" borderId="24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/>
    <xf numFmtId="0" fontId="3" fillId="0" borderId="27" xfId="0" applyFont="1" applyBorder="1" applyAlignment="1"/>
    <xf numFmtId="0" fontId="3" fillId="0" borderId="28" xfId="0" applyFont="1" applyBorder="1" applyAlignment="1"/>
    <xf numFmtId="0" fontId="3" fillId="0" borderId="29" xfId="0" applyFont="1" applyBorder="1" applyAlignment="1"/>
    <xf numFmtId="0" fontId="3" fillId="0" borderId="30" xfId="0" applyFont="1" applyBorder="1" applyAlignment="1"/>
    <xf numFmtId="0" fontId="3" fillId="0" borderId="12" xfId="0" applyFont="1" applyBorder="1" applyAlignment="1"/>
    <xf numFmtId="0" fontId="3" fillId="0" borderId="31" xfId="0" applyFont="1" applyBorder="1" applyAlignment="1"/>
    <xf numFmtId="0" fontId="3" fillId="0" borderId="32" xfId="0" applyFont="1" applyBorder="1" applyAlignment="1"/>
    <xf numFmtId="0" fontId="3" fillId="0" borderId="33" xfId="0" applyFont="1" applyBorder="1" applyAlignment="1"/>
    <xf numFmtId="0" fontId="3" fillId="0" borderId="35" xfId="0" applyFont="1" applyBorder="1" applyAlignment="1"/>
    <xf numFmtId="0" fontId="3" fillId="0" borderId="36" xfId="0" applyFont="1" applyBorder="1" applyAlignment="1"/>
    <xf numFmtId="0" fontId="3" fillId="0" borderId="34" xfId="0" applyFont="1" applyBorder="1" applyAlignment="1"/>
    <xf numFmtId="0" fontId="3" fillId="0" borderId="38" xfId="0" applyFont="1" applyBorder="1" applyAlignment="1"/>
    <xf numFmtId="8" fontId="3" fillId="0" borderId="39" xfId="0" applyNumberFormat="1" applyFont="1" applyBorder="1" applyAlignment="1">
      <alignment horizontal="left"/>
    </xf>
    <xf numFmtId="0" fontId="3" fillId="0" borderId="40" xfId="0" applyFont="1" applyBorder="1" applyAlignment="1"/>
    <xf numFmtId="0" fontId="3" fillId="0" borderId="41" xfId="0" applyFont="1" applyBorder="1" applyAlignment="1"/>
    <xf numFmtId="0" fontId="3" fillId="0" borderId="23" xfId="0" applyFont="1" applyBorder="1" applyAlignment="1">
      <alignment horizontal="left"/>
    </xf>
    <xf numFmtId="0" fontId="3" fillId="0" borderId="24" xfId="0" applyFont="1" applyBorder="1"/>
    <xf numFmtId="6" fontId="3" fillId="0" borderId="43" xfId="0" applyNumberFormat="1" applyFont="1" applyBorder="1" applyAlignment="1">
      <alignment horizontal="left"/>
    </xf>
    <xf numFmtId="0" fontId="3" fillId="0" borderId="25" xfId="0" applyFont="1" applyBorder="1"/>
    <xf numFmtId="0" fontId="3" fillId="0" borderId="47" xfId="0" applyFont="1" applyBorder="1" applyAlignment="1"/>
    <xf numFmtId="0" fontId="3" fillId="0" borderId="48" xfId="0" applyFont="1" applyBorder="1" applyAlignment="1"/>
    <xf numFmtId="8" fontId="3" fillId="0" borderId="1" xfId="0" applyNumberFormat="1" applyFont="1" applyBorder="1"/>
    <xf numFmtId="0" fontId="3" fillId="0" borderId="51" xfId="0" applyFont="1" applyBorder="1" applyAlignment="1"/>
    <xf numFmtId="0" fontId="3" fillId="0" borderId="52" xfId="0" applyFont="1" applyBorder="1" applyAlignment="1"/>
    <xf numFmtId="0" fontId="3" fillId="0" borderId="53" xfId="0" applyFont="1" applyBorder="1" applyAlignment="1"/>
    <xf numFmtId="8" fontId="3" fillId="0" borderId="42" xfId="0" applyNumberFormat="1" applyFont="1" applyBorder="1"/>
    <xf numFmtId="0" fontId="2" fillId="0" borderId="19" xfId="0" applyFont="1" applyBorder="1" applyAlignment="1"/>
    <xf numFmtId="0" fontId="2" fillId="0" borderId="54" xfId="0" applyFont="1" applyBorder="1" applyAlignment="1"/>
    <xf numFmtId="0" fontId="2" fillId="0" borderId="55" xfId="0" applyFont="1" applyBorder="1" applyAlignment="1"/>
    <xf numFmtId="0" fontId="2" fillId="0" borderId="49" xfId="0" applyFont="1" applyBorder="1"/>
    <xf numFmtId="0" fontId="2" fillId="0" borderId="50" xfId="0" applyFont="1" applyBorder="1"/>
    <xf numFmtId="8" fontId="3" fillId="0" borderId="37" xfId="0" applyNumberFormat="1" applyFont="1" applyBorder="1"/>
    <xf numFmtId="0" fontId="3" fillId="0" borderId="58" xfId="0" applyFont="1" applyBorder="1" applyAlignment="1"/>
    <xf numFmtId="8" fontId="3" fillId="0" borderId="48" xfId="0" applyNumberFormat="1" applyFont="1" applyBorder="1" applyAlignment="1">
      <alignment horizontal="left"/>
    </xf>
    <xf numFmtId="164" fontId="5" fillId="2" borderId="62" xfId="1" applyNumberFormat="1" applyFont="1" applyFill="1" applyBorder="1" applyAlignment="1"/>
    <xf numFmtId="0" fontId="2" fillId="0" borderId="65" xfId="0" applyFont="1" applyBorder="1" applyAlignment="1"/>
    <xf numFmtId="0" fontId="3" fillId="0" borderId="18" xfId="0" applyFont="1" applyBorder="1" applyAlignment="1"/>
    <xf numFmtId="164" fontId="3" fillId="0" borderId="66" xfId="1" applyNumberFormat="1" applyFont="1" applyBorder="1" applyAlignment="1"/>
    <xf numFmtId="164" fontId="3" fillId="0" borderId="67" xfId="1" applyNumberFormat="1" applyFont="1" applyBorder="1" applyAlignment="1"/>
    <xf numFmtId="164" fontId="3" fillId="0" borderId="68" xfId="1" applyNumberFormat="1" applyFont="1" applyBorder="1" applyAlignment="1"/>
    <xf numFmtId="164" fontId="3" fillId="0" borderId="66" xfId="1" applyNumberFormat="1" applyFont="1" applyBorder="1"/>
    <xf numFmtId="164" fontId="3" fillId="0" borderId="67" xfId="1" applyNumberFormat="1" applyFont="1" applyBorder="1"/>
    <xf numFmtId="0" fontId="3" fillId="0" borderId="19" xfId="0" applyFont="1" applyBorder="1" applyAlignment="1"/>
    <xf numFmtId="164" fontId="3" fillId="0" borderId="68" xfId="1" applyNumberFormat="1" applyFont="1" applyBorder="1"/>
    <xf numFmtId="0" fontId="2" fillId="0" borderId="69" xfId="0" applyFont="1" applyBorder="1" applyAlignment="1"/>
    <xf numFmtId="164" fontId="4" fillId="0" borderId="70" xfId="1" applyNumberFormat="1" applyFont="1" applyBorder="1" applyAlignment="1"/>
    <xf numFmtId="164" fontId="3" fillId="0" borderId="71" xfId="1" applyNumberFormat="1" applyFont="1" applyBorder="1" applyAlignment="1"/>
    <xf numFmtId="0" fontId="3" fillId="0" borderId="72" xfId="0" applyFont="1" applyBorder="1" applyAlignment="1"/>
    <xf numFmtId="0" fontId="3" fillId="0" borderId="73" xfId="0" applyFont="1" applyBorder="1" applyAlignment="1"/>
    <xf numFmtId="0" fontId="3" fillId="0" borderId="74" xfId="0" applyFont="1" applyBorder="1" applyAlignment="1"/>
    <xf numFmtId="0" fontId="3" fillId="0" borderId="59" xfId="0" applyFont="1" applyBorder="1" applyAlignment="1"/>
    <xf numFmtId="164" fontId="3" fillId="0" borderId="78" xfId="1" applyNumberFormat="1" applyFont="1" applyBorder="1" applyAlignment="1"/>
    <xf numFmtId="0" fontId="2" fillId="0" borderId="79" xfId="0" applyFont="1" applyBorder="1" applyAlignment="1"/>
    <xf numFmtId="0" fontId="3" fillId="0" borderId="69" xfId="0" applyFont="1" applyBorder="1" applyAlignment="1"/>
    <xf numFmtId="164" fontId="3" fillId="0" borderId="80" xfId="1" applyNumberFormat="1" applyFont="1" applyBorder="1" applyAlignment="1"/>
    <xf numFmtId="0" fontId="2" fillId="2" borderId="61" xfId="0" applyFont="1" applyFill="1" applyBorder="1" applyAlignment="1"/>
    <xf numFmtId="0" fontId="3" fillId="0" borderId="83" xfId="0" applyFont="1" applyBorder="1" applyAlignment="1"/>
    <xf numFmtId="0" fontId="3" fillId="0" borderId="57" xfId="0" applyFont="1" applyBorder="1" applyAlignment="1"/>
    <xf numFmtId="8" fontId="3" fillId="0" borderId="35" xfId="0" applyNumberFormat="1" applyFont="1" applyBorder="1" applyAlignment="1"/>
    <xf numFmtId="164" fontId="3" fillId="0" borderId="81" xfId="1" applyNumberFormat="1" applyFont="1" applyBorder="1" applyAlignment="1">
      <alignment horizontal="right"/>
    </xf>
    <xf numFmtId="164" fontId="3" fillId="0" borderId="82" xfId="1" applyNumberFormat="1" applyFont="1" applyBorder="1" applyAlignment="1">
      <alignment horizontal="right"/>
    </xf>
    <xf numFmtId="164" fontId="3" fillId="0" borderId="71" xfId="1" applyNumberFormat="1" applyFont="1" applyBorder="1" applyAlignment="1">
      <alignment horizontal="right"/>
    </xf>
    <xf numFmtId="164" fontId="3" fillId="0" borderId="93" xfId="1" applyNumberFormat="1" applyFont="1" applyBorder="1" applyAlignment="1"/>
    <xf numFmtId="164" fontId="3" fillId="0" borderId="94" xfId="1" applyNumberFormat="1" applyFont="1" applyBorder="1" applyAlignment="1"/>
    <xf numFmtId="164" fontId="2" fillId="2" borderId="44" xfId="0" applyNumberFormat="1" applyFont="1" applyFill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164" fontId="3" fillId="0" borderId="84" xfId="0" applyNumberFormat="1" applyFont="1" applyBorder="1" applyAlignment="1">
      <alignment horizontal="right"/>
    </xf>
    <xf numFmtId="164" fontId="3" fillId="0" borderId="38" xfId="0" applyNumberFormat="1" applyFont="1" applyBorder="1" applyAlignment="1">
      <alignment horizontal="right"/>
    </xf>
    <xf numFmtId="164" fontId="3" fillId="0" borderId="39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3" fillId="0" borderId="38" xfId="1" applyNumberFormat="1" applyFont="1" applyBorder="1" applyAlignment="1">
      <alignment horizontal="right"/>
    </xf>
    <xf numFmtId="164" fontId="3" fillId="0" borderId="85" xfId="1" applyNumberFormat="1" applyFont="1" applyBorder="1" applyAlignment="1">
      <alignment horizontal="right"/>
    </xf>
    <xf numFmtId="164" fontId="3" fillId="0" borderId="90" xfId="1" applyNumberFormat="1" applyFont="1" applyBorder="1" applyAlignment="1">
      <alignment horizontal="right"/>
    </xf>
    <xf numFmtId="164" fontId="3" fillId="0" borderId="39" xfId="1" applyNumberFormat="1" applyFont="1" applyBorder="1" applyAlignment="1">
      <alignment horizontal="right"/>
    </xf>
    <xf numFmtId="164" fontId="3" fillId="0" borderId="91" xfId="1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right"/>
    </xf>
    <xf numFmtId="164" fontId="3" fillId="0" borderId="8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88" xfId="0" applyNumberFormat="1" applyFont="1" applyBorder="1" applyAlignment="1">
      <alignment horizontal="right"/>
    </xf>
    <xf numFmtId="164" fontId="3" fillId="0" borderId="89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98" xfId="1" applyNumberFormat="1" applyFont="1" applyBorder="1" applyAlignment="1">
      <alignment horizontal="right"/>
    </xf>
    <xf numFmtId="164" fontId="3" fillId="0" borderId="100" xfId="1" applyNumberFormat="1" applyFont="1" applyBorder="1" applyAlignment="1">
      <alignment horizontal="right"/>
    </xf>
    <xf numFmtId="164" fontId="3" fillId="0" borderId="101" xfId="1" applyNumberFormat="1" applyFont="1" applyBorder="1" applyAlignment="1">
      <alignment horizontal="right"/>
    </xf>
    <xf numFmtId="164" fontId="3" fillId="0" borderId="102" xfId="1" applyNumberFormat="1" applyFont="1" applyBorder="1" applyAlignment="1">
      <alignment horizontal="right"/>
    </xf>
    <xf numFmtId="164" fontId="3" fillId="0" borderId="103" xfId="1" applyNumberFormat="1" applyFont="1" applyBorder="1" applyAlignment="1">
      <alignment horizontal="right"/>
    </xf>
    <xf numFmtId="164" fontId="3" fillId="0" borderId="105" xfId="1" applyNumberFormat="1" applyFont="1" applyBorder="1" applyAlignment="1">
      <alignment horizontal="right"/>
    </xf>
    <xf numFmtId="164" fontId="3" fillId="0" borderId="106" xfId="1" applyNumberFormat="1" applyFont="1" applyBorder="1" applyAlignment="1">
      <alignment horizontal="right"/>
    </xf>
    <xf numFmtId="164" fontId="3" fillId="0" borderId="107" xfId="1" applyNumberFormat="1" applyFont="1" applyBorder="1" applyAlignment="1">
      <alignment horizontal="right"/>
    </xf>
    <xf numFmtId="164" fontId="3" fillId="0" borderId="29" xfId="1" applyNumberFormat="1" applyFont="1" applyBorder="1" applyAlignment="1">
      <alignment horizontal="right"/>
    </xf>
    <xf numFmtId="164" fontId="3" fillId="0" borderId="30" xfId="1" applyNumberFormat="1" applyFont="1" applyBorder="1" applyAlignment="1">
      <alignment horizontal="right"/>
    </xf>
    <xf numFmtId="164" fontId="3" fillId="0" borderId="104" xfId="0" applyNumberFormat="1" applyFont="1" applyBorder="1" applyAlignment="1">
      <alignment horizontal="right"/>
    </xf>
    <xf numFmtId="8" fontId="3" fillId="0" borderId="108" xfId="0" applyNumberFormat="1" applyFont="1" applyBorder="1"/>
    <xf numFmtId="164" fontId="4" fillId="0" borderId="78" xfId="1" applyNumberFormat="1" applyFont="1" applyBorder="1" applyAlignment="1"/>
    <xf numFmtId="0" fontId="3" fillId="0" borderId="113" xfId="0" applyFont="1" applyBorder="1" applyAlignment="1"/>
    <xf numFmtId="8" fontId="3" fillId="0" borderId="110" xfId="0" applyNumberFormat="1" applyFont="1" applyBorder="1" applyAlignment="1">
      <alignment horizontal="left"/>
    </xf>
    <xf numFmtId="164" fontId="3" fillId="0" borderId="111" xfId="0" applyNumberFormat="1" applyFont="1" applyBorder="1" applyAlignment="1">
      <alignment horizontal="right"/>
    </xf>
    <xf numFmtId="8" fontId="3" fillId="0" borderId="75" xfId="0" applyNumberFormat="1" applyFont="1" applyBorder="1"/>
    <xf numFmtId="164" fontId="3" fillId="0" borderId="114" xfId="1" applyNumberFormat="1" applyFont="1" applyBorder="1" applyAlignment="1"/>
    <xf numFmtId="164" fontId="3" fillId="0" borderId="115" xfId="1" applyNumberFormat="1" applyFont="1" applyBorder="1" applyAlignment="1"/>
    <xf numFmtId="164" fontId="3" fillId="0" borderId="116" xfId="1" applyNumberFormat="1" applyFont="1" applyBorder="1" applyAlignment="1">
      <alignment horizontal="right"/>
    </xf>
    <xf numFmtId="0" fontId="3" fillId="0" borderId="117" xfId="0" applyFont="1" applyBorder="1" applyAlignment="1"/>
    <xf numFmtId="164" fontId="3" fillId="0" borderId="118" xfId="1" applyNumberFormat="1" applyFont="1" applyBorder="1" applyAlignment="1">
      <alignment horizontal="right"/>
    </xf>
    <xf numFmtId="0" fontId="3" fillId="0" borderId="119" xfId="0" applyFont="1" applyBorder="1" applyAlignment="1"/>
    <xf numFmtId="0" fontId="3" fillId="0" borderId="120" xfId="0" applyFont="1" applyBorder="1" applyAlignment="1"/>
    <xf numFmtId="164" fontId="3" fillId="0" borderId="121" xfId="0" applyNumberFormat="1" applyFont="1" applyBorder="1" applyAlignment="1">
      <alignment horizontal="right"/>
    </xf>
    <xf numFmtId="8" fontId="3" fillId="0" borderId="99" xfId="0" applyNumberFormat="1" applyFont="1" applyBorder="1"/>
    <xf numFmtId="8" fontId="3" fillId="0" borderId="122" xfId="1" applyNumberFormat="1" applyFont="1" applyBorder="1" applyAlignment="1"/>
    <xf numFmtId="6" fontId="3" fillId="0" borderId="123" xfId="1" applyNumberFormat="1" applyFont="1" applyBorder="1" applyAlignment="1"/>
    <xf numFmtId="8" fontId="3" fillId="0" borderId="124" xfId="0" applyNumberFormat="1" applyFont="1" applyBorder="1"/>
    <xf numFmtId="8" fontId="3" fillId="0" borderId="125" xfId="1" applyNumberFormat="1" applyFont="1" applyBorder="1" applyAlignment="1"/>
    <xf numFmtId="6" fontId="3" fillId="0" borderId="126" xfId="1" applyNumberFormat="1" applyFont="1" applyBorder="1" applyAlignment="1"/>
    <xf numFmtId="164" fontId="3" fillId="0" borderId="92" xfId="0" applyNumberFormat="1" applyFont="1" applyBorder="1"/>
    <xf numFmtId="0" fontId="3" fillId="0" borderId="127" xfId="0" applyFont="1" applyBorder="1" applyAlignment="1"/>
    <xf numFmtId="164" fontId="3" fillId="0" borderId="85" xfId="0" applyNumberFormat="1" applyFont="1" applyBorder="1" applyAlignment="1">
      <alignment horizontal="right"/>
    </xf>
    <xf numFmtId="0" fontId="3" fillId="0" borderId="4" xfId="0" applyFont="1" applyBorder="1"/>
    <xf numFmtId="0" fontId="3" fillId="0" borderId="2" xfId="0" applyFont="1" applyBorder="1"/>
    <xf numFmtId="164" fontId="3" fillId="0" borderId="114" xfId="1" applyNumberFormat="1" applyFont="1" applyBorder="1"/>
    <xf numFmtId="164" fontId="5" fillId="4" borderId="131" xfId="0" applyNumberFormat="1" applyFont="1" applyFill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133" xfId="0" applyNumberFormat="1" applyFont="1" applyBorder="1"/>
    <xf numFmtId="164" fontId="3" fillId="0" borderId="134" xfId="1" applyNumberFormat="1" applyFont="1" applyBorder="1" applyAlignment="1"/>
    <xf numFmtId="164" fontId="3" fillId="0" borderId="38" xfId="1" applyNumberFormat="1" applyFont="1" applyBorder="1" applyAlignment="1"/>
    <xf numFmtId="164" fontId="3" fillId="0" borderId="85" xfId="1" applyNumberFormat="1" applyFont="1" applyBorder="1" applyAlignment="1"/>
    <xf numFmtId="164" fontId="3" fillId="0" borderId="38" xfId="1" applyNumberFormat="1" applyFont="1" applyBorder="1"/>
    <xf numFmtId="164" fontId="3" fillId="0" borderId="85" xfId="1" applyNumberFormat="1" applyFont="1" applyBorder="1"/>
    <xf numFmtId="164" fontId="3" fillId="0" borderId="89" xfId="1" applyNumberFormat="1" applyFont="1" applyBorder="1" applyAlignment="1"/>
    <xf numFmtId="164" fontId="3" fillId="0" borderId="135" xfId="1" applyNumberFormat="1" applyFont="1" applyBorder="1" applyAlignment="1"/>
    <xf numFmtId="164" fontId="3" fillId="0" borderId="87" xfId="1" applyNumberFormat="1" applyFont="1" applyBorder="1" applyAlignment="1"/>
    <xf numFmtId="164" fontId="3" fillId="0" borderId="111" xfId="1" applyNumberFormat="1" applyFont="1" applyBorder="1" applyAlignment="1"/>
    <xf numFmtId="164" fontId="3" fillId="0" borderId="88" xfId="1" applyNumberFormat="1" applyFont="1" applyBorder="1" applyAlignment="1"/>
    <xf numFmtId="8" fontId="3" fillId="0" borderId="135" xfId="0" applyNumberFormat="1" applyFont="1" applyBorder="1"/>
    <xf numFmtId="8" fontId="3" fillId="0" borderId="37" xfId="1" applyNumberFormat="1" applyFont="1" applyBorder="1" applyAlignment="1"/>
    <xf numFmtId="164" fontId="3" fillId="0" borderId="136" xfId="1" applyNumberFormat="1" applyFont="1" applyBorder="1" applyAlignment="1"/>
    <xf numFmtId="164" fontId="3" fillId="0" borderId="26" xfId="1" applyNumberFormat="1" applyFont="1" applyBorder="1" applyAlignment="1">
      <alignment horizontal="right"/>
    </xf>
    <xf numFmtId="164" fontId="3" fillId="0" borderId="28" xfId="1" applyNumberFormat="1" applyFont="1" applyBorder="1" applyAlignment="1">
      <alignment horizontal="right"/>
    </xf>
    <xf numFmtId="164" fontId="3" fillId="0" borderId="24" xfId="1" applyNumberFormat="1" applyFont="1" applyBorder="1" applyAlignment="1">
      <alignment horizontal="right"/>
    </xf>
    <xf numFmtId="164" fontId="3" fillId="0" borderId="89" xfId="1" applyNumberFormat="1" applyFont="1" applyBorder="1" applyAlignment="1">
      <alignment horizontal="right"/>
    </xf>
    <xf numFmtId="164" fontId="3" fillId="0" borderId="33" xfId="1" applyNumberFormat="1" applyFont="1" applyBorder="1" applyAlignment="1">
      <alignment horizontal="right"/>
    </xf>
    <xf numFmtId="164" fontId="3" fillId="0" borderId="81" xfId="1" applyNumberFormat="1" applyFont="1" applyBorder="1" applyAlignment="1"/>
    <xf numFmtId="164" fontId="3" fillId="0" borderId="81" xfId="1" applyNumberFormat="1" applyFont="1" applyBorder="1"/>
    <xf numFmtId="8" fontId="3" fillId="0" borderId="81" xfId="0" applyNumberFormat="1" applyFont="1" applyBorder="1"/>
    <xf numFmtId="8" fontId="3" fillId="0" borderId="81" xfId="1" applyNumberFormat="1" applyFont="1" applyBorder="1" applyAlignment="1"/>
    <xf numFmtId="164" fontId="3" fillId="0" borderId="137" xfId="1" applyNumberFormat="1" applyFont="1" applyBorder="1" applyAlignment="1">
      <alignment horizontal="right"/>
    </xf>
    <xf numFmtId="0" fontId="2" fillId="0" borderId="138" xfId="0" applyFont="1" applyBorder="1" applyAlignment="1"/>
    <xf numFmtId="0" fontId="3" fillId="0" borderId="139" xfId="0" applyFont="1" applyBorder="1" applyAlignment="1"/>
    <xf numFmtId="164" fontId="3" fillId="0" borderId="137" xfId="1" applyNumberFormat="1" applyFont="1" applyBorder="1" applyAlignment="1"/>
    <xf numFmtId="164" fontId="3" fillId="0" borderId="140" xfId="1" applyNumberFormat="1" applyFont="1" applyBorder="1" applyAlignment="1">
      <alignment horizontal="right"/>
    </xf>
    <xf numFmtId="164" fontId="3" fillId="0" borderId="140" xfId="1" applyNumberFormat="1" applyFont="1" applyBorder="1" applyAlignment="1"/>
    <xf numFmtId="164" fontId="3" fillId="0" borderId="86" xfId="1" applyNumberFormat="1" applyFont="1" applyBorder="1" applyAlignment="1">
      <alignment horizontal="right"/>
    </xf>
    <xf numFmtId="164" fontId="3" fillId="0" borderId="86" xfId="1" applyNumberFormat="1" applyFont="1" applyBorder="1" applyAlignment="1"/>
    <xf numFmtId="0" fontId="2" fillId="0" borderId="93" xfId="0" applyFont="1" applyBorder="1" applyAlignment="1"/>
    <xf numFmtId="0" fontId="2" fillId="0" borderId="142" xfId="0" applyFont="1" applyBorder="1" applyAlignment="1"/>
    <xf numFmtId="164" fontId="3" fillId="0" borderId="137" xfId="1" applyNumberFormat="1" applyFont="1" applyBorder="1"/>
    <xf numFmtId="164" fontId="3" fillId="0" borderId="144" xfId="1" applyNumberFormat="1" applyFont="1" applyBorder="1" applyAlignment="1"/>
    <xf numFmtId="0" fontId="3" fillId="0" borderId="146" xfId="0" applyFont="1" applyBorder="1" applyAlignment="1"/>
    <xf numFmtId="164" fontId="3" fillId="0" borderId="82" xfId="1" applyNumberFormat="1" applyFont="1" applyBorder="1" applyAlignment="1"/>
    <xf numFmtId="0" fontId="2" fillId="0" borderId="149" xfId="0" applyFont="1" applyBorder="1" applyAlignment="1"/>
    <xf numFmtId="0" fontId="3" fillId="0" borderId="150" xfId="0" applyFont="1" applyBorder="1" applyAlignment="1"/>
    <xf numFmtId="0" fontId="3" fillId="0" borderId="151" xfId="0" applyFont="1" applyBorder="1" applyAlignment="1"/>
    <xf numFmtId="164" fontId="3" fillId="0" borderId="152" xfId="1" applyNumberFormat="1" applyFont="1" applyBorder="1" applyAlignment="1">
      <alignment horizontal="right"/>
    </xf>
    <xf numFmtId="164" fontId="3" fillId="0" borderId="152" xfId="1" applyNumberFormat="1" applyFont="1" applyBorder="1" applyAlignment="1"/>
    <xf numFmtId="0" fontId="2" fillId="0" borderId="25" xfId="0" applyFont="1" applyBorder="1" applyAlignment="1"/>
    <xf numFmtId="0" fontId="3" fillId="0" borderId="153" xfId="0" applyFont="1" applyBorder="1" applyAlignment="1"/>
    <xf numFmtId="164" fontId="3" fillId="0" borderId="154" xfId="1" applyNumberFormat="1" applyFont="1" applyBorder="1" applyAlignment="1">
      <alignment horizontal="right"/>
    </xf>
    <xf numFmtId="164" fontId="3" fillId="0" borderId="154" xfId="1" applyNumberFormat="1" applyFont="1" applyBorder="1" applyAlignment="1"/>
    <xf numFmtId="0" fontId="3" fillId="0" borderId="47" xfId="0" applyFont="1" applyBorder="1"/>
    <xf numFmtId="0" fontId="3" fillId="0" borderId="153" xfId="0" applyFont="1" applyBorder="1"/>
    <xf numFmtId="0" fontId="3" fillId="0" borderId="98" xfId="0" applyFont="1" applyBorder="1" applyAlignment="1"/>
    <xf numFmtId="0" fontId="2" fillId="2" borderId="156" xfId="0" applyFont="1" applyFill="1" applyBorder="1" applyAlignment="1"/>
    <xf numFmtId="164" fontId="2" fillId="2" borderId="49" xfId="0" applyNumberFormat="1" applyFont="1" applyFill="1" applyBorder="1" applyAlignment="1">
      <alignment horizontal="right"/>
    </xf>
    <xf numFmtId="164" fontId="5" fillId="2" borderId="49" xfId="1" applyNumberFormat="1" applyFont="1" applyFill="1" applyBorder="1" applyAlignment="1"/>
    <xf numFmtId="164" fontId="5" fillId="2" borderId="157" xfId="1" applyNumberFormat="1" applyFont="1" applyFill="1" applyBorder="1" applyAlignment="1"/>
    <xf numFmtId="0" fontId="2" fillId="0" borderId="135" xfId="0" applyFont="1" applyBorder="1"/>
    <xf numFmtId="0" fontId="2" fillId="0" borderId="41" xfId="0" applyFont="1" applyBorder="1"/>
    <xf numFmtId="164" fontId="2" fillId="0" borderId="135" xfId="0" applyNumberFormat="1" applyFont="1" applyBorder="1" applyAlignment="1">
      <alignment horizontal="right"/>
    </xf>
    <xf numFmtId="164" fontId="3" fillId="0" borderId="143" xfId="1" applyNumberFormat="1" applyFont="1" applyBorder="1" applyAlignment="1"/>
    <xf numFmtId="0" fontId="3" fillId="0" borderId="145" xfId="0" applyFont="1" applyBorder="1" applyAlignment="1"/>
    <xf numFmtId="164" fontId="3" fillId="0" borderId="158" xfId="0" applyNumberFormat="1" applyFont="1" applyBorder="1" applyAlignment="1">
      <alignment horizontal="right"/>
    </xf>
    <xf numFmtId="164" fontId="3" fillId="0" borderId="159" xfId="1" applyNumberFormat="1" applyFont="1" applyBorder="1" applyAlignment="1"/>
    <xf numFmtId="164" fontId="3" fillId="0" borderId="86" xfId="1" applyNumberFormat="1" applyFont="1" applyBorder="1"/>
    <xf numFmtId="164" fontId="3" fillId="0" borderId="143" xfId="1" applyNumberFormat="1" applyFont="1" applyBorder="1"/>
    <xf numFmtId="0" fontId="3" fillId="0" borderId="15" xfId="0" applyFont="1" applyBorder="1" applyAlignment="1">
      <alignment horizontal="left"/>
    </xf>
    <xf numFmtId="164" fontId="3" fillId="0" borderId="160" xfId="0" applyNumberFormat="1" applyFont="1" applyBorder="1" applyAlignment="1">
      <alignment horizontal="right"/>
    </xf>
    <xf numFmtId="164" fontId="3" fillId="0" borderId="58" xfId="1" applyNumberFormat="1" applyFont="1" applyBorder="1" applyAlignment="1">
      <alignment horizontal="right"/>
    </xf>
    <xf numFmtId="164" fontId="3" fillId="0" borderId="143" xfId="1" applyNumberFormat="1" applyFont="1" applyBorder="1" applyAlignment="1">
      <alignment horizontal="right"/>
    </xf>
    <xf numFmtId="164" fontId="3" fillId="0" borderId="58" xfId="0" applyNumberFormat="1" applyFont="1" applyBorder="1" applyAlignment="1">
      <alignment horizontal="right"/>
    </xf>
    <xf numFmtId="164" fontId="4" fillId="0" borderId="111" xfId="1" applyNumberFormat="1" applyFont="1" applyBorder="1" applyAlignment="1"/>
    <xf numFmtId="164" fontId="4" fillId="0" borderId="141" xfId="1" applyNumberFormat="1" applyFont="1" applyBorder="1" applyAlignment="1"/>
    <xf numFmtId="0" fontId="3" fillId="0" borderId="147" xfId="0" applyFont="1" applyBorder="1" applyAlignment="1"/>
    <xf numFmtId="0" fontId="3" fillId="0" borderId="129" xfId="0" applyFont="1" applyBorder="1" applyAlignment="1"/>
    <xf numFmtId="8" fontId="3" fillId="0" borderId="130" xfId="0" applyNumberFormat="1" applyFont="1" applyBorder="1" applyAlignment="1">
      <alignment horizontal="left"/>
    </xf>
    <xf numFmtId="164" fontId="3" fillId="0" borderId="131" xfId="0" applyNumberFormat="1" applyFont="1" applyBorder="1" applyAlignment="1">
      <alignment horizontal="right"/>
    </xf>
    <xf numFmtId="8" fontId="3" fillId="0" borderId="131" xfId="0" applyNumberFormat="1" applyFont="1" applyBorder="1"/>
    <xf numFmtId="8" fontId="3" fillId="0" borderId="82" xfId="0" applyNumberFormat="1" applyFont="1" applyBorder="1"/>
    <xf numFmtId="0" fontId="3" fillId="0" borderId="55" xfId="0" applyFont="1" applyBorder="1" applyAlignment="1"/>
    <xf numFmtId="8" fontId="3" fillId="0" borderId="87" xfId="0" applyNumberFormat="1" applyFont="1" applyBorder="1" applyAlignment="1">
      <alignment horizontal="left"/>
    </xf>
    <xf numFmtId="6" fontId="3" fillId="0" borderId="158" xfId="1" applyNumberFormat="1" applyFont="1" applyBorder="1" applyAlignment="1"/>
    <xf numFmtId="6" fontId="3" fillId="0" borderId="82" xfId="1" applyNumberFormat="1" applyFont="1" applyBorder="1" applyAlignment="1"/>
    <xf numFmtId="0" fontId="3" fillId="0" borderId="52" xfId="0" applyFont="1" applyBorder="1" applyAlignment="1">
      <alignment horizontal="left"/>
    </xf>
    <xf numFmtId="0" fontId="3" fillId="0" borderId="58" xfId="0" applyFont="1" applyBorder="1"/>
    <xf numFmtId="6" fontId="3" fillId="0" borderId="161" xfId="0" applyNumberFormat="1" applyFont="1" applyBorder="1" applyAlignment="1">
      <alignment horizontal="left"/>
    </xf>
    <xf numFmtId="164" fontId="3" fillId="0" borderId="162" xfId="0" applyNumberFormat="1" applyFont="1" applyBorder="1" applyAlignment="1">
      <alignment horizontal="right"/>
    </xf>
    <xf numFmtId="164" fontId="3" fillId="0" borderId="162" xfId="1" applyNumberFormat="1" applyFont="1" applyBorder="1" applyAlignment="1"/>
    <xf numFmtId="164" fontId="4" fillId="0" borderId="131" xfId="1" applyNumberFormat="1" applyFont="1" applyBorder="1" applyAlignment="1"/>
    <xf numFmtId="164" fontId="4" fillId="0" borderId="163" xfId="1" applyNumberFormat="1" applyFont="1" applyBorder="1" applyAlignment="1"/>
    <xf numFmtId="164" fontId="3" fillId="0" borderId="164" xfId="1" applyNumberFormat="1" applyFont="1" applyBorder="1" applyAlignment="1"/>
    <xf numFmtId="164" fontId="3" fillId="0" borderId="80" xfId="1" applyNumberFormat="1" applyFont="1" applyBorder="1" applyAlignment="1">
      <alignment horizontal="right"/>
    </xf>
    <xf numFmtId="164" fontId="5" fillId="4" borderId="131" xfId="1" applyNumberFormat="1" applyFont="1" applyFill="1" applyBorder="1" applyAlignment="1"/>
    <xf numFmtId="164" fontId="4" fillId="0" borderId="16" xfId="1" applyNumberFormat="1" applyFont="1" applyBorder="1" applyAlignment="1"/>
    <xf numFmtId="164" fontId="4" fillId="0" borderId="164" xfId="1" applyNumberFormat="1" applyFont="1" applyBorder="1" applyAlignment="1"/>
    <xf numFmtId="0" fontId="3" fillId="0" borderId="165" xfId="0" applyFont="1" applyBorder="1" applyAlignment="1"/>
    <xf numFmtId="164" fontId="3" fillId="0" borderId="165" xfId="1" applyNumberFormat="1" applyFont="1" applyBorder="1" applyAlignment="1">
      <alignment horizontal="right"/>
    </xf>
    <xf numFmtId="164" fontId="3" fillId="0" borderId="162" xfId="1" applyNumberFormat="1" applyFont="1" applyBorder="1" applyAlignment="1">
      <alignment horizontal="right"/>
    </xf>
    <xf numFmtId="0" fontId="3" fillId="0" borderId="166" xfId="0" applyFont="1" applyBorder="1" applyAlignment="1"/>
    <xf numFmtId="164" fontId="3" fillId="0" borderId="81" xfId="1" applyNumberFormat="1" applyFont="1" applyFill="1" applyBorder="1" applyAlignment="1"/>
    <xf numFmtId="164" fontId="3" fillId="0" borderId="80" xfId="1" applyNumberFormat="1" applyFont="1" applyFill="1" applyBorder="1" applyAlignment="1"/>
    <xf numFmtId="164" fontId="3" fillId="0" borderId="80" xfId="0" applyNumberFormat="1" applyFont="1" applyFill="1" applyBorder="1"/>
    <xf numFmtId="164" fontId="4" fillId="0" borderId="17" xfId="1" applyNumberFormat="1" applyFont="1" applyBorder="1" applyAlignment="1"/>
    <xf numFmtId="164" fontId="3" fillId="5" borderId="143" xfId="1" applyNumberFormat="1" applyFont="1" applyFill="1" applyBorder="1" applyAlignment="1">
      <alignment horizontal="right"/>
    </xf>
    <xf numFmtId="0" fontId="3" fillId="0" borderId="32" xfId="0" applyFont="1" applyBorder="1"/>
    <xf numFmtId="0" fontId="3" fillId="0" borderId="130" xfId="0" applyFont="1" applyBorder="1" applyAlignment="1"/>
    <xf numFmtId="164" fontId="3" fillId="0" borderId="151" xfId="0" applyNumberFormat="1" applyFont="1" applyBorder="1" applyAlignment="1">
      <alignment horizontal="right"/>
    </xf>
    <xf numFmtId="8" fontId="3" fillId="0" borderId="53" xfId="0" applyNumberFormat="1" applyFont="1" applyBorder="1"/>
    <xf numFmtId="164" fontId="4" fillId="0" borderId="167" xfId="1" applyNumberFormat="1" applyFont="1" applyBorder="1" applyAlignment="1"/>
    <xf numFmtId="8" fontId="3" fillId="0" borderId="168" xfId="0" applyNumberFormat="1" applyFont="1" applyBorder="1"/>
    <xf numFmtId="164" fontId="4" fillId="0" borderId="169" xfId="1" applyNumberFormat="1" applyFont="1" applyBorder="1" applyAlignment="1"/>
    <xf numFmtId="0" fontId="3" fillId="0" borderId="170" xfId="0" applyFont="1" applyBorder="1" applyAlignment="1"/>
    <xf numFmtId="0" fontId="3" fillId="0" borderId="148" xfId="0" applyFont="1" applyBorder="1"/>
    <xf numFmtId="6" fontId="3" fillId="0" borderId="130" xfId="0" applyNumberFormat="1" applyFont="1" applyBorder="1" applyAlignment="1">
      <alignment horizontal="left"/>
    </xf>
    <xf numFmtId="164" fontId="3" fillId="0" borderId="131" xfId="1" applyNumberFormat="1" applyFont="1" applyBorder="1" applyAlignment="1"/>
    <xf numFmtId="164" fontId="3" fillId="0" borderId="141" xfId="1" applyNumberFormat="1" applyFont="1" applyBorder="1" applyAlignment="1"/>
    <xf numFmtId="164" fontId="3" fillId="5" borderId="80" xfId="1" applyNumberFormat="1" applyFont="1" applyFill="1" applyBorder="1" applyAlignment="1">
      <alignment horizontal="right"/>
    </xf>
    <xf numFmtId="164" fontId="5" fillId="4" borderId="171" xfId="1" applyNumberFormat="1" applyFont="1" applyFill="1" applyBorder="1" applyAlignment="1"/>
    <xf numFmtId="0" fontId="5" fillId="4" borderId="128" xfId="0" applyFont="1" applyFill="1" applyBorder="1" applyAlignment="1"/>
    <xf numFmtId="0" fontId="5" fillId="4" borderId="129" xfId="0" applyFont="1" applyFill="1" applyBorder="1" applyAlignment="1"/>
    <xf numFmtId="0" fontId="5" fillId="4" borderId="130" xfId="0" applyFont="1" applyFill="1" applyBorder="1" applyAlignment="1"/>
    <xf numFmtId="0" fontId="2" fillId="3" borderId="76" xfId="0" applyFont="1" applyFill="1" applyBorder="1" applyAlignment="1"/>
    <xf numFmtId="0" fontId="2" fillId="3" borderId="21" xfId="0" applyFont="1" applyFill="1" applyBorder="1" applyAlignment="1"/>
    <xf numFmtId="0" fontId="2" fillId="3" borderId="22" xfId="0" applyFont="1" applyFill="1" applyBorder="1" applyAlignment="1"/>
    <xf numFmtId="0" fontId="2" fillId="3" borderId="56" xfId="0" applyFont="1" applyFill="1" applyBorder="1" applyAlignment="1"/>
    <xf numFmtId="0" fontId="2" fillId="3" borderId="77" xfId="0" applyFont="1" applyFill="1" applyBorder="1" applyAlignment="1"/>
    <xf numFmtId="0" fontId="2" fillId="3" borderId="109" xfId="0" applyFont="1" applyFill="1" applyBorder="1" applyAlignment="1"/>
    <xf numFmtId="0" fontId="2" fillId="3" borderId="57" xfId="0" applyFont="1" applyFill="1" applyBorder="1" applyAlignment="1"/>
    <xf numFmtId="0" fontId="2" fillId="3" borderId="110" xfId="0" applyFont="1" applyFill="1" applyBorder="1" applyAlignment="1"/>
    <xf numFmtId="0" fontId="2" fillId="3" borderId="111" xfId="0" applyFont="1" applyFill="1" applyBorder="1" applyAlignment="1"/>
    <xf numFmtId="0" fontId="2" fillId="3" borderId="75" xfId="0" applyFont="1" applyFill="1" applyBorder="1" applyAlignment="1"/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12" xfId="0" applyFont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0" fontId="4" fillId="0" borderId="95" xfId="0" applyFont="1" applyBorder="1" applyAlignment="1">
      <alignment horizontal="right"/>
    </xf>
    <xf numFmtId="0" fontId="4" fillId="0" borderId="96" xfId="0" applyFont="1" applyBorder="1" applyAlignment="1">
      <alignment horizontal="right"/>
    </xf>
    <xf numFmtId="0" fontId="4" fillId="0" borderId="97" xfId="0" applyFont="1" applyBorder="1" applyAlignment="1">
      <alignment horizontal="right"/>
    </xf>
    <xf numFmtId="0" fontId="5" fillId="2" borderId="60" xfId="0" applyFont="1" applyFill="1" applyBorder="1" applyAlignment="1"/>
    <xf numFmtId="0" fontId="2" fillId="2" borderId="44" xfId="0" applyFont="1" applyFill="1" applyBorder="1" applyAlignment="1"/>
    <xf numFmtId="0" fontId="2" fillId="2" borderId="61" xfId="0" applyFont="1" applyFill="1" applyBorder="1" applyAlignment="1"/>
    <xf numFmtId="0" fontId="2" fillId="3" borderId="63" xfId="0" applyFont="1" applyFill="1" applyBorder="1" applyAlignment="1"/>
    <xf numFmtId="0" fontId="2" fillId="3" borderId="46" xfId="0" applyFont="1" applyFill="1" applyBorder="1" applyAlignment="1"/>
    <xf numFmtId="0" fontId="2" fillId="3" borderId="64" xfId="0" applyFont="1" applyFill="1" applyBorder="1" applyAlignment="1"/>
    <xf numFmtId="0" fontId="4" fillId="0" borderId="132" xfId="0" applyFont="1" applyBorder="1" applyAlignment="1">
      <alignment horizontal="right"/>
    </xf>
    <xf numFmtId="0" fontId="2" fillId="3" borderId="20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3" borderId="132" xfId="0" applyFont="1" applyFill="1" applyBorder="1" applyAlignment="1">
      <alignment horizontal="left"/>
    </xf>
    <xf numFmtId="0" fontId="4" fillId="0" borderId="148" xfId="0" applyFont="1" applyBorder="1" applyAlignment="1">
      <alignment horizontal="right"/>
    </xf>
    <xf numFmtId="0" fontId="4" fillId="0" borderId="129" xfId="0" applyFont="1" applyBorder="1" applyAlignment="1">
      <alignment horizontal="right"/>
    </xf>
    <xf numFmtId="0" fontId="4" fillId="0" borderId="15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57" xfId="0" applyFont="1" applyBorder="1" applyAlignment="1">
      <alignment horizontal="right"/>
    </xf>
    <xf numFmtId="0" fontId="4" fillId="0" borderId="49" xfId="0" applyFont="1" applyBorder="1" applyAlignment="1">
      <alignment horizontal="right"/>
    </xf>
    <xf numFmtId="0" fontId="4" fillId="0" borderId="50" xfId="0" applyFont="1" applyBorder="1" applyAlignment="1">
      <alignment horizontal="right"/>
    </xf>
    <xf numFmtId="0" fontId="5" fillId="2" borderId="155" xfId="0" applyFont="1" applyFill="1" applyBorder="1" applyAlignment="1"/>
    <xf numFmtId="0" fontId="2" fillId="2" borderId="49" xfId="0" applyFont="1" applyFill="1" applyBorder="1" applyAlignment="1"/>
    <xf numFmtId="0" fontId="2" fillId="2" borderId="156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view="pageLayout" topLeftCell="A58" zoomScaleNormal="100" workbookViewId="0">
      <selection activeCell="D80" sqref="D80"/>
    </sheetView>
  </sheetViews>
  <sheetFormatPr defaultRowHeight="12.75" x14ac:dyDescent="0.2"/>
  <cols>
    <col min="1" max="1" width="21" style="11" bestFit="1" customWidth="1"/>
    <col min="2" max="2" width="3.42578125" style="11" customWidth="1"/>
    <col min="3" max="3" width="30.85546875" style="13" bestFit="1" customWidth="1"/>
    <col min="4" max="4" width="23.85546875" style="11" customWidth="1"/>
    <col min="5" max="5" width="11" style="117" customWidth="1"/>
    <col min="6" max="6" width="11.7109375" style="12" customWidth="1"/>
    <col min="7" max="16384" width="9.140625" style="3"/>
  </cols>
  <sheetData>
    <row r="1" spans="1:6" ht="13.5" thickBot="1" x14ac:dyDescent="0.25">
      <c r="A1" s="293" t="s">
        <v>0</v>
      </c>
      <c r="B1" s="294"/>
      <c r="C1" s="295"/>
      <c r="D1" s="91" t="s">
        <v>1</v>
      </c>
      <c r="E1" s="100"/>
      <c r="F1" s="70" t="s">
        <v>2</v>
      </c>
    </row>
    <row r="2" spans="1:6" ht="14.25" thickTop="1" thickBot="1" x14ac:dyDescent="0.25">
      <c r="A2" s="296" t="s">
        <v>51</v>
      </c>
      <c r="B2" s="297"/>
      <c r="C2" s="297"/>
      <c r="D2" s="297"/>
      <c r="E2" s="297"/>
      <c r="F2" s="298"/>
    </row>
    <row r="3" spans="1:6" x14ac:dyDescent="0.2">
      <c r="A3" s="71" t="s">
        <v>60</v>
      </c>
      <c r="B3" s="19" t="s">
        <v>11</v>
      </c>
      <c r="C3" s="14"/>
      <c r="D3" s="24"/>
      <c r="E3" s="101"/>
      <c r="F3" s="149">
        <f>SUM(E4:E8)</f>
        <v>533.897875</v>
      </c>
    </row>
    <row r="4" spans="1:6" x14ac:dyDescent="0.2">
      <c r="A4" s="29"/>
      <c r="B4" s="20"/>
      <c r="C4" s="1" t="s">
        <v>8</v>
      </c>
      <c r="D4" s="2" t="s">
        <v>134</v>
      </c>
      <c r="E4" s="102">
        <f>1*70.95+1.0775</f>
        <v>72.027500000000003</v>
      </c>
      <c r="F4" s="98"/>
    </row>
    <row r="5" spans="1:6" x14ac:dyDescent="0.2">
      <c r="A5" s="29"/>
      <c r="B5" s="20"/>
      <c r="C5" s="1" t="s">
        <v>122</v>
      </c>
      <c r="D5" s="2" t="s">
        <v>135</v>
      </c>
      <c r="E5" s="102">
        <f>2*65.95*1.0775</f>
        <v>142.12224999999998</v>
      </c>
      <c r="F5" s="98"/>
    </row>
    <row r="6" spans="1:6" x14ac:dyDescent="0.2">
      <c r="A6" s="29"/>
      <c r="B6" s="20"/>
      <c r="C6" s="1" t="s">
        <v>12</v>
      </c>
      <c r="D6" s="2" t="s">
        <v>136</v>
      </c>
      <c r="E6" s="102">
        <f>2*89.95*1.0775</f>
        <v>193.84224999999998</v>
      </c>
      <c r="F6" s="98"/>
    </row>
    <row r="7" spans="1:6" x14ac:dyDescent="0.2">
      <c r="A7" s="72"/>
      <c r="B7" s="21"/>
      <c r="C7" s="1" t="s">
        <v>13</v>
      </c>
      <c r="D7" s="2" t="s">
        <v>137</v>
      </c>
      <c r="E7" s="102">
        <f>1*44.95*1.0775</f>
        <v>48.433624999999999</v>
      </c>
      <c r="F7" s="98"/>
    </row>
    <row r="8" spans="1:6" ht="13.5" thickBot="1" x14ac:dyDescent="0.25">
      <c r="A8" s="72"/>
      <c r="B8" s="22"/>
      <c r="C8" s="17" t="s">
        <v>9</v>
      </c>
      <c r="D8" s="18" t="s">
        <v>205</v>
      </c>
      <c r="E8" s="103">
        <f>2*35.95*1.0775</f>
        <v>77.472250000000003</v>
      </c>
      <c r="F8" s="99"/>
    </row>
    <row r="9" spans="1:6" x14ac:dyDescent="0.2">
      <c r="A9" s="72"/>
      <c r="B9" s="19" t="s">
        <v>35</v>
      </c>
      <c r="C9" s="14"/>
      <c r="D9" s="24"/>
      <c r="E9" s="101"/>
      <c r="F9" s="73">
        <f>SUM(E10:E12)</f>
        <v>188.5625</v>
      </c>
    </row>
    <row r="10" spans="1:6" x14ac:dyDescent="0.2">
      <c r="A10" s="72"/>
      <c r="B10" s="21"/>
      <c r="C10" s="1" t="s">
        <v>124</v>
      </c>
      <c r="D10" s="2" t="s">
        <v>123</v>
      </c>
      <c r="E10" s="104">
        <f>3*35*1.0775</f>
        <v>113.13749999999999</v>
      </c>
      <c r="F10" s="74"/>
    </row>
    <row r="11" spans="1:6" x14ac:dyDescent="0.2">
      <c r="A11" s="72"/>
      <c r="B11" s="150"/>
      <c r="C11" s="4" t="s">
        <v>125</v>
      </c>
      <c r="D11" s="5" t="s">
        <v>126</v>
      </c>
      <c r="E11" s="151">
        <f>50*1.0775</f>
        <v>53.874999999999993</v>
      </c>
      <c r="F11" s="135"/>
    </row>
    <row r="12" spans="1:6" ht="13.5" thickBot="1" x14ac:dyDescent="0.25">
      <c r="A12" s="72"/>
      <c r="B12" s="22"/>
      <c r="C12" s="17" t="s">
        <v>28</v>
      </c>
      <c r="D12" s="18" t="s">
        <v>127</v>
      </c>
      <c r="E12" s="105">
        <f>20*1.0775</f>
        <v>21.549999999999997</v>
      </c>
      <c r="F12" s="75"/>
    </row>
    <row r="13" spans="1:6" x14ac:dyDescent="0.2">
      <c r="A13" s="72"/>
      <c r="B13" s="19" t="s">
        <v>41</v>
      </c>
      <c r="C13" s="14"/>
      <c r="D13" s="24"/>
      <c r="E13" s="101"/>
      <c r="F13" s="73">
        <v>430</v>
      </c>
    </row>
    <row r="14" spans="1:6" x14ac:dyDescent="0.2">
      <c r="A14" s="72"/>
      <c r="B14" s="21"/>
      <c r="C14" s="1" t="s">
        <v>15</v>
      </c>
      <c r="D14" s="2" t="s">
        <v>202</v>
      </c>
      <c r="E14" s="104"/>
      <c r="F14" s="74"/>
    </row>
    <row r="15" spans="1:6" x14ac:dyDescent="0.2">
      <c r="A15" s="72"/>
      <c r="B15" s="21"/>
      <c r="C15" s="1" t="s">
        <v>10</v>
      </c>
      <c r="D15" s="7" t="s">
        <v>203</v>
      </c>
      <c r="E15" s="104"/>
      <c r="F15" s="74"/>
    </row>
    <row r="16" spans="1:6" x14ac:dyDescent="0.2">
      <c r="A16" s="72"/>
      <c r="B16" s="21"/>
      <c r="C16" s="1" t="s">
        <v>16</v>
      </c>
      <c r="D16" s="7" t="s">
        <v>203</v>
      </c>
      <c r="E16" s="104"/>
      <c r="F16" s="74"/>
    </row>
    <row r="17" spans="1:6" x14ac:dyDescent="0.2">
      <c r="A17" s="72"/>
      <c r="B17" s="21"/>
      <c r="C17" s="1" t="s">
        <v>14</v>
      </c>
      <c r="D17" s="7" t="s">
        <v>204</v>
      </c>
      <c r="E17" s="104"/>
      <c r="F17" s="74"/>
    </row>
    <row r="18" spans="1:6" ht="13.5" thickBot="1" x14ac:dyDescent="0.25">
      <c r="A18" s="72"/>
      <c r="B18" s="22"/>
      <c r="C18" s="17" t="s">
        <v>17</v>
      </c>
      <c r="D18" s="23" t="s">
        <v>206</v>
      </c>
      <c r="E18" s="105"/>
      <c r="F18" s="75"/>
    </row>
    <row r="19" spans="1:6" x14ac:dyDescent="0.2">
      <c r="A19" s="72"/>
      <c r="B19" s="19" t="s">
        <v>34</v>
      </c>
      <c r="C19" s="14"/>
      <c r="D19" s="24"/>
      <c r="E19" s="101"/>
      <c r="F19" s="76">
        <f>SUM(E20:E24)</f>
        <v>315.16874999999999</v>
      </c>
    </row>
    <row r="20" spans="1:6" x14ac:dyDescent="0.2">
      <c r="A20" s="72"/>
      <c r="B20" s="21"/>
      <c r="C20" s="6" t="s">
        <v>129</v>
      </c>
      <c r="D20" s="8" t="s">
        <v>142</v>
      </c>
      <c r="E20" s="104">
        <f>28*1.0775</f>
        <v>30.169999999999998</v>
      </c>
      <c r="F20" s="77"/>
    </row>
    <row r="21" spans="1:6" x14ac:dyDescent="0.2">
      <c r="A21" s="78"/>
      <c r="B21" s="150"/>
      <c r="C21" s="152" t="s">
        <v>130</v>
      </c>
      <c r="D21" s="153" t="s">
        <v>141</v>
      </c>
      <c r="E21" s="151">
        <f>20*1.0775</f>
        <v>21.549999999999997</v>
      </c>
      <c r="F21" s="154"/>
    </row>
    <row r="22" spans="1:6" x14ac:dyDescent="0.2">
      <c r="A22" s="72"/>
      <c r="B22" s="21"/>
      <c r="C22" s="6" t="s">
        <v>131</v>
      </c>
      <c r="D22" s="8" t="s">
        <v>142</v>
      </c>
      <c r="E22" s="104">
        <f>28*1.0775</f>
        <v>30.169999999999998</v>
      </c>
      <c r="F22" s="77"/>
    </row>
    <row r="23" spans="1:6" x14ac:dyDescent="0.2">
      <c r="A23" s="78"/>
      <c r="B23" s="150"/>
      <c r="C23" s="152" t="s">
        <v>132</v>
      </c>
      <c r="D23" s="153" t="s">
        <v>143</v>
      </c>
      <c r="E23" s="151">
        <f>18.5*1.0775</f>
        <v>19.93375</v>
      </c>
      <c r="F23" s="154"/>
    </row>
    <row r="24" spans="1:6" ht="13.5" thickBot="1" x14ac:dyDescent="0.25">
      <c r="A24" s="78"/>
      <c r="B24" s="22"/>
      <c r="C24" s="15" t="s">
        <v>27</v>
      </c>
      <c r="D24" s="16" t="s">
        <v>133</v>
      </c>
      <c r="E24" s="105">
        <f>3*66*1.0775</f>
        <v>213.34499999999997</v>
      </c>
      <c r="F24" s="79"/>
    </row>
    <row r="25" spans="1:6" x14ac:dyDescent="0.2">
      <c r="A25" s="80"/>
      <c r="B25" s="40" t="s">
        <v>32</v>
      </c>
      <c r="C25" s="25"/>
      <c r="D25" s="28"/>
      <c r="E25" s="106"/>
      <c r="F25" s="73">
        <f>SUM(E26:E29)</f>
        <v>79.734999999999985</v>
      </c>
    </row>
    <row r="26" spans="1:6" x14ac:dyDescent="0.2">
      <c r="A26" s="80"/>
      <c r="B26" s="29"/>
      <c r="C26" s="1" t="s">
        <v>19</v>
      </c>
      <c r="D26" s="8" t="s">
        <v>207</v>
      </c>
      <c r="E26" s="107">
        <f>8*1.25*1.0775</f>
        <v>10.774999999999999</v>
      </c>
      <c r="F26" s="74"/>
    </row>
    <row r="27" spans="1:6" x14ac:dyDescent="0.2">
      <c r="A27" s="80"/>
      <c r="B27" s="29"/>
      <c r="C27" s="1" t="s">
        <v>18</v>
      </c>
      <c r="D27" s="8" t="s">
        <v>208</v>
      </c>
      <c r="E27" s="107">
        <f>10*3*1.0775</f>
        <v>32.324999999999996</v>
      </c>
      <c r="F27" s="74"/>
    </row>
    <row r="28" spans="1:6" x14ac:dyDescent="0.2">
      <c r="A28" s="80"/>
      <c r="B28" s="29"/>
      <c r="C28" s="6" t="s">
        <v>20</v>
      </c>
      <c r="D28" s="8" t="s">
        <v>209</v>
      </c>
      <c r="E28" s="107">
        <f>4*2.5*1.0775</f>
        <v>10.774999999999999</v>
      </c>
      <c r="F28" s="74"/>
    </row>
    <row r="29" spans="1:6" ht="13.5" thickBot="1" x14ac:dyDescent="0.25">
      <c r="A29" s="80"/>
      <c r="B29" s="29"/>
      <c r="C29" s="6" t="s">
        <v>21</v>
      </c>
      <c r="D29" s="8" t="s">
        <v>210</v>
      </c>
      <c r="E29" s="108">
        <f>4*6*1.0775</f>
        <v>25.86</v>
      </c>
      <c r="F29" s="135"/>
    </row>
    <row r="30" spans="1:6" x14ac:dyDescent="0.2">
      <c r="A30" s="80"/>
      <c r="B30" s="40" t="s">
        <v>32</v>
      </c>
      <c r="C30" s="25"/>
      <c r="D30" s="28"/>
      <c r="E30" s="109"/>
      <c r="F30" s="73">
        <f>SUM(E31:E36)</f>
        <v>98.591249999999988</v>
      </c>
    </row>
    <row r="31" spans="1:6" x14ac:dyDescent="0.2">
      <c r="A31" s="80"/>
      <c r="B31" s="29"/>
      <c r="C31" s="1" t="s">
        <v>26</v>
      </c>
      <c r="D31" s="2" t="s">
        <v>211</v>
      </c>
      <c r="E31" s="107">
        <f>7.5*1.0775</f>
        <v>8.0812499999999989</v>
      </c>
      <c r="F31" s="74"/>
    </row>
    <row r="32" spans="1:6" x14ac:dyDescent="0.2">
      <c r="A32" s="80"/>
      <c r="B32" s="29"/>
      <c r="C32" s="6" t="s">
        <v>20</v>
      </c>
      <c r="D32" s="8" t="s">
        <v>212</v>
      </c>
      <c r="E32" s="107">
        <f>2.5*4*1.0775</f>
        <v>10.774999999999999</v>
      </c>
      <c r="F32" s="74"/>
    </row>
    <row r="33" spans="1:6" x14ac:dyDescent="0.2">
      <c r="A33" s="80"/>
      <c r="B33" s="29"/>
      <c r="C33" s="6" t="s">
        <v>21</v>
      </c>
      <c r="D33" s="8" t="s">
        <v>210</v>
      </c>
      <c r="E33" s="107">
        <f>6*4*1.0775</f>
        <v>25.86</v>
      </c>
      <c r="F33" s="74"/>
    </row>
    <row r="34" spans="1:6" x14ac:dyDescent="0.2">
      <c r="A34" s="80"/>
      <c r="B34" s="29"/>
      <c r="C34" s="6" t="s">
        <v>7</v>
      </c>
      <c r="D34" s="8" t="s">
        <v>213</v>
      </c>
      <c r="E34" s="107">
        <f>3*5*1.0775</f>
        <v>16.162499999999998</v>
      </c>
      <c r="F34" s="74"/>
    </row>
    <row r="35" spans="1:6" x14ac:dyDescent="0.2">
      <c r="A35" s="80"/>
      <c r="B35" s="29"/>
      <c r="C35" s="1" t="s">
        <v>5</v>
      </c>
      <c r="D35" s="2" t="s">
        <v>213</v>
      </c>
      <c r="E35" s="107">
        <f>5.5*5*1.0775</f>
        <v>29.631249999999998</v>
      </c>
      <c r="F35" s="74"/>
    </row>
    <row r="36" spans="1:6" ht="13.5" thickBot="1" x14ac:dyDescent="0.25">
      <c r="A36" s="80"/>
      <c r="B36" s="62"/>
      <c r="C36" s="4" t="s">
        <v>25</v>
      </c>
      <c r="D36" s="5" t="s">
        <v>211</v>
      </c>
      <c r="E36" s="110">
        <f>1*7.5*1.0775</f>
        <v>8.0812499999999989</v>
      </c>
      <c r="F36" s="75"/>
    </row>
    <row r="37" spans="1:6" x14ac:dyDescent="0.2">
      <c r="A37" s="80"/>
      <c r="B37" s="40" t="s">
        <v>32</v>
      </c>
      <c r="C37" s="65"/>
      <c r="D37" s="66"/>
      <c r="E37" s="111"/>
      <c r="F37" s="136">
        <f>SUM(E38:E40)</f>
        <v>66.805000000000007</v>
      </c>
    </row>
    <row r="38" spans="1:6" x14ac:dyDescent="0.2">
      <c r="A38" s="64"/>
      <c r="B38" s="64"/>
      <c r="C38" s="1" t="s">
        <v>24</v>
      </c>
      <c r="D38" s="2" t="s">
        <v>214</v>
      </c>
      <c r="E38" s="107">
        <f>6*3*1.0775</f>
        <v>19.395</v>
      </c>
      <c r="F38" s="74"/>
    </row>
    <row r="39" spans="1:6" x14ac:dyDescent="0.2">
      <c r="A39" s="29"/>
      <c r="B39" s="29"/>
      <c r="C39" s="1" t="s">
        <v>23</v>
      </c>
      <c r="D39" s="2" t="s">
        <v>215</v>
      </c>
      <c r="E39" s="107">
        <f>12*3*1.0775</f>
        <v>38.79</v>
      </c>
      <c r="F39" s="74"/>
    </row>
    <row r="40" spans="1:6" ht="13.5" thickBot="1" x14ac:dyDescent="0.25">
      <c r="A40" s="63"/>
      <c r="B40" s="63"/>
      <c r="C40" s="17" t="s">
        <v>22</v>
      </c>
      <c r="D40" s="18" t="s">
        <v>216</v>
      </c>
      <c r="E40" s="110">
        <f>4*2*1.0775</f>
        <v>8.6199999999999992</v>
      </c>
      <c r="F40" s="75"/>
    </row>
    <row r="41" spans="1:6" ht="15.75" customHeight="1" thickBot="1" x14ac:dyDescent="0.25">
      <c r="A41" s="290" t="s">
        <v>2</v>
      </c>
      <c r="B41" s="291"/>
      <c r="C41" s="291"/>
      <c r="D41" s="291"/>
      <c r="E41" s="292"/>
      <c r="F41" s="81">
        <f>SUM(F3:F40)</f>
        <v>1712.7603750000001</v>
      </c>
    </row>
    <row r="42" spans="1:6" customFormat="1" ht="16.5" thickTop="1" thickBot="1" x14ac:dyDescent="0.3">
      <c r="A42" s="279" t="s">
        <v>118</v>
      </c>
      <c r="B42" s="280"/>
      <c r="C42" s="281"/>
      <c r="D42" s="281"/>
      <c r="E42" s="282"/>
      <c r="F42" s="283"/>
    </row>
    <row r="43" spans="1:6" ht="13.5" thickBot="1" x14ac:dyDescent="0.25">
      <c r="A43" s="86"/>
      <c r="B43" s="30" t="s">
        <v>119</v>
      </c>
      <c r="C43" s="27"/>
      <c r="D43" s="31" t="s">
        <v>201</v>
      </c>
      <c r="E43" s="115">
        <f>(6.5*175+40)*1.0775</f>
        <v>1268.7562499999999</v>
      </c>
      <c r="F43" s="87">
        <f>6.5*175</f>
        <v>1137.5</v>
      </c>
    </row>
    <row r="44" spans="1:6" ht="15.75" customHeight="1" thickBot="1" x14ac:dyDescent="0.25">
      <c r="A44" s="287" t="s">
        <v>2</v>
      </c>
      <c r="B44" s="288"/>
      <c r="C44" s="288"/>
      <c r="D44" s="288"/>
      <c r="E44" s="289"/>
      <c r="F44" s="81">
        <f>SUM(F43)</f>
        <v>1137.5</v>
      </c>
    </row>
    <row r="45" spans="1:6" customFormat="1" ht="16.5" thickTop="1" thickBot="1" x14ac:dyDescent="0.3">
      <c r="A45" s="274" t="s">
        <v>3</v>
      </c>
      <c r="B45" s="275"/>
      <c r="C45" s="276"/>
      <c r="D45" s="276"/>
      <c r="E45" s="277"/>
      <c r="F45" s="278"/>
    </row>
    <row r="46" spans="1:6" ht="13.5" thickBot="1" x14ac:dyDescent="0.25">
      <c r="A46" s="86"/>
      <c r="B46" s="30" t="s">
        <v>200</v>
      </c>
      <c r="C46" s="27"/>
      <c r="D46" s="31" t="s">
        <v>77</v>
      </c>
      <c r="E46" s="115"/>
      <c r="F46" s="87">
        <v>160</v>
      </c>
    </row>
    <row r="47" spans="1:6" ht="15.75" customHeight="1" thickBot="1" x14ac:dyDescent="0.25">
      <c r="A47" s="287" t="s">
        <v>2</v>
      </c>
      <c r="B47" s="288"/>
      <c r="C47" s="288"/>
      <c r="D47" s="288"/>
      <c r="E47" s="289"/>
      <c r="F47" s="81">
        <f>SUM(F46)</f>
        <v>160</v>
      </c>
    </row>
    <row r="48" spans="1:6" ht="14.25" thickTop="1" thickBot="1" x14ac:dyDescent="0.25">
      <c r="A48" s="274" t="s">
        <v>121</v>
      </c>
      <c r="B48" s="275"/>
      <c r="C48" s="276"/>
      <c r="D48" s="276"/>
      <c r="E48" s="277"/>
      <c r="F48" s="278"/>
    </row>
    <row r="49" spans="1:6" x14ac:dyDescent="0.2">
      <c r="A49" s="88" t="s">
        <v>60</v>
      </c>
      <c r="B49" s="51" t="s">
        <v>65</v>
      </c>
      <c r="C49" s="52"/>
      <c r="D49" s="53"/>
      <c r="E49" s="116"/>
      <c r="F49" s="82">
        <f>SUM(E50:E55)</f>
        <v>495.77</v>
      </c>
    </row>
    <row r="50" spans="1:6" x14ac:dyDescent="0.2">
      <c r="A50" s="29"/>
      <c r="B50" s="49"/>
      <c r="C50" s="50" t="s">
        <v>42</v>
      </c>
      <c r="D50" s="61" t="s">
        <v>71</v>
      </c>
      <c r="E50" s="146">
        <f>1.27*135</f>
        <v>171.45</v>
      </c>
      <c r="F50" s="143">
        <f>1.27*135</f>
        <v>171.45</v>
      </c>
    </row>
    <row r="51" spans="1:6" x14ac:dyDescent="0.2">
      <c r="A51" s="62"/>
      <c r="B51" s="21"/>
      <c r="C51" s="1" t="s">
        <v>43</v>
      </c>
      <c r="D51" s="67" t="s">
        <v>79</v>
      </c>
      <c r="E51" s="147">
        <f>10.73*17</f>
        <v>182.41</v>
      </c>
      <c r="F51" s="144">
        <f>10.73*17</f>
        <v>182.41</v>
      </c>
    </row>
    <row r="52" spans="1:6" x14ac:dyDescent="0.2">
      <c r="A52" s="78"/>
      <c r="B52" s="21"/>
      <c r="C52" s="1" t="s">
        <v>76</v>
      </c>
      <c r="D52" s="47" t="s">
        <v>72</v>
      </c>
      <c r="E52" s="147">
        <f>9.9*5</f>
        <v>49.5</v>
      </c>
      <c r="F52" s="144">
        <f>9.9*5</f>
        <v>49.5</v>
      </c>
    </row>
    <row r="53" spans="1:6" x14ac:dyDescent="0.2">
      <c r="A53" s="78"/>
      <c r="B53" s="21"/>
      <c r="C53" s="1" t="s">
        <v>44</v>
      </c>
      <c r="D53" s="47" t="s">
        <v>73</v>
      </c>
      <c r="E53" s="147">
        <f>9.63*6</f>
        <v>57.78</v>
      </c>
      <c r="F53" s="144">
        <f>9.63*6</f>
        <v>57.78</v>
      </c>
    </row>
    <row r="54" spans="1:6" x14ac:dyDescent="0.2">
      <c r="A54" s="78"/>
      <c r="B54" s="21"/>
      <c r="C54" s="1" t="s">
        <v>74</v>
      </c>
      <c r="D54" s="47" t="s">
        <v>75</v>
      </c>
      <c r="E54" s="147">
        <f>9.63</f>
        <v>9.6300000000000008</v>
      </c>
      <c r="F54" s="144">
        <f>9.63</f>
        <v>9.6300000000000008</v>
      </c>
    </row>
    <row r="55" spans="1:6" ht="13.5" thickBot="1" x14ac:dyDescent="0.25">
      <c r="A55" s="63"/>
      <c r="B55" s="22"/>
      <c r="C55" s="17" t="s">
        <v>45</v>
      </c>
      <c r="D55" s="48">
        <v>25</v>
      </c>
      <c r="E55" s="148">
        <v>25</v>
      </c>
      <c r="F55" s="145">
        <v>25</v>
      </c>
    </row>
    <row r="56" spans="1:6" x14ac:dyDescent="0.2">
      <c r="A56" s="88" t="s">
        <v>57</v>
      </c>
      <c r="B56" s="51" t="s">
        <v>66</v>
      </c>
      <c r="C56" s="52"/>
      <c r="D56" s="53"/>
      <c r="E56" s="116"/>
      <c r="F56" s="82"/>
    </row>
    <row r="57" spans="1:6" ht="13.5" thickBot="1" x14ac:dyDescent="0.25">
      <c r="A57" s="62"/>
      <c r="B57" s="131"/>
      <c r="C57" s="93" t="s">
        <v>58</v>
      </c>
      <c r="D57" s="132">
        <v>165</v>
      </c>
      <c r="E57" s="133"/>
      <c r="F57" s="134">
        <v>165</v>
      </c>
    </row>
    <row r="58" spans="1:6" ht="15.75" customHeight="1" thickBot="1" x14ac:dyDescent="0.25">
      <c r="A58" s="284" t="s">
        <v>2</v>
      </c>
      <c r="B58" s="285"/>
      <c r="C58" s="285"/>
      <c r="D58" s="285"/>
      <c r="E58" s="286"/>
      <c r="F58" s="130">
        <f>F49+F57</f>
        <v>660.77</v>
      </c>
    </row>
    <row r="59" spans="1:6" ht="13.5" thickBot="1" x14ac:dyDescent="0.25">
      <c r="A59" s="279" t="s">
        <v>6</v>
      </c>
      <c r="B59" s="280"/>
      <c r="C59" s="281"/>
      <c r="D59" s="281"/>
      <c r="E59" s="282"/>
      <c r="F59" s="283"/>
    </row>
    <row r="60" spans="1:6" x14ac:dyDescent="0.2">
      <c r="A60" s="89"/>
      <c r="B60" s="32" t="s">
        <v>33</v>
      </c>
      <c r="C60" s="33"/>
      <c r="D60" s="33"/>
      <c r="E60" s="112"/>
      <c r="F60" s="90">
        <f>SUM(E61:E63)</f>
        <v>301.5</v>
      </c>
    </row>
    <row r="61" spans="1:6" x14ac:dyDescent="0.2">
      <c r="A61" s="89"/>
      <c r="B61" s="34"/>
      <c r="C61" s="35" t="s">
        <v>29</v>
      </c>
      <c r="D61" s="38" t="s">
        <v>56</v>
      </c>
      <c r="E61" s="126">
        <f>2*5*13.5</f>
        <v>135</v>
      </c>
      <c r="F61" s="123"/>
    </row>
    <row r="62" spans="1:6" x14ac:dyDescent="0.2">
      <c r="A62" s="89"/>
      <c r="B62" s="34"/>
      <c r="C62" s="35" t="s">
        <v>30</v>
      </c>
      <c r="D62" s="38" t="s">
        <v>55</v>
      </c>
      <c r="E62" s="126">
        <f>50*2</f>
        <v>100</v>
      </c>
      <c r="F62" s="123"/>
    </row>
    <row r="63" spans="1:6" ht="13.5" thickBot="1" x14ac:dyDescent="0.25">
      <c r="A63" s="89"/>
      <c r="B63" s="36"/>
      <c r="C63" s="37" t="s">
        <v>31</v>
      </c>
      <c r="D63" s="39" t="s">
        <v>54</v>
      </c>
      <c r="E63" s="127">
        <f>33.25*2</f>
        <v>66.5</v>
      </c>
      <c r="F63" s="124"/>
    </row>
    <row r="64" spans="1:6" x14ac:dyDescent="0.2">
      <c r="A64" s="89"/>
      <c r="B64" s="32" t="s">
        <v>86</v>
      </c>
      <c r="C64" s="33"/>
      <c r="D64" s="41"/>
      <c r="E64" s="142"/>
      <c r="F64" s="125">
        <f>SUM(E65:E66)</f>
        <v>53.874999999999993</v>
      </c>
    </row>
    <row r="65" spans="1:6" x14ac:dyDescent="0.2">
      <c r="A65" s="89"/>
      <c r="B65" s="34"/>
      <c r="C65" s="35" t="s">
        <v>38</v>
      </c>
      <c r="D65" s="55" t="s">
        <v>87</v>
      </c>
      <c r="E65" s="119">
        <f>120*0.25*1.0775</f>
        <v>32.324999999999996</v>
      </c>
      <c r="F65" s="123"/>
    </row>
    <row r="66" spans="1:6" ht="13.5" thickBot="1" x14ac:dyDescent="0.25">
      <c r="A66" s="89"/>
      <c r="B66" s="36"/>
      <c r="C66" s="37" t="s">
        <v>96</v>
      </c>
      <c r="D66" s="56" t="s">
        <v>97</v>
      </c>
      <c r="E66" s="122">
        <f>20*1*1.0775</f>
        <v>21.549999999999997</v>
      </c>
      <c r="F66" s="124"/>
    </row>
    <row r="67" spans="1:6" x14ac:dyDescent="0.2">
      <c r="A67" s="89"/>
      <c r="B67" s="32" t="s">
        <v>88</v>
      </c>
      <c r="C67" s="33"/>
      <c r="D67" s="41"/>
      <c r="E67" s="112"/>
      <c r="F67" s="97">
        <f>SUM(E68:E79)</f>
        <v>539.99990000000003</v>
      </c>
    </row>
    <row r="68" spans="1:6" x14ac:dyDescent="0.2">
      <c r="A68" s="89"/>
      <c r="B68" s="34"/>
      <c r="C68" s="35" t="s">
        <v>92</v>
      </c>
      <c r="D68" s="44" t="s">
        <v>109</v>
      </c>
      <c r="E68" s="119">
        <f>20*1.0775</f>
        <v>21.549999999999997</v>
      </c>
      <c r="F68" s="123"/>
    </row>
    <row r="69" spans="1:6" x14ac:dyDescent="0.2">
      <c r="A69" s="89"/>
      <c r="B69" s="34"/>
      <c r="C69" s="35" t="s">
        <v>80</v>
      </c>
      <c r="D69" s="94" t="s">
        <v>102</v>
      </c>
      <c r="E69" s="119">
        <f>25*5*1.0775</f>
        <v>134.6875</v>
      </c>
      <c r="F69" s="123"/>
    </row>
    <row r="70" spans="1:6" x14ac:dyDescent="0.2">
      <c r="A70" s="89"/>
      <c r="B70" s="34"/>
      <c r="C70" s="35" t="s">
        <v>95</v>
      </c>
      <c r="D70" s="94" t="s">
        <v>103</v>
      </c>
      <c r="E70" s="119">
        <f>4*4*1.0775</f>
        <v>17.239999999999998</v>
      </c>
      <c r="F70" s="123"/>
    </row>
    <row r="71" spans="1:6" x14ac:dyDescent="0.2">
      <c r="A71" s="89"/>
      <c r="B71" s="34"/>
      <c r="C71" s="35" t="s">
        <v>94</v>
      </c>
      <c r="D71" s="94" t="s">
        <v>98</v>
      </c>
      <c r="E71" s="119">
        <f>5*4*1.0775</f>
        <v>21.549999999999997</v>
      </c>
      <c r="F71" s="123"/>
    </row>
    <row r="72" spans="1:6" x14ac:dyDescent="0.2">
      <c r="A72" s="89"/>
      <c r="B72" s="34"/>
      <c r="C72" s="35" t="s">
        <v>93</v>
      </c>
      <c r="D72" s="94" t="s">
        <v>99</v>
      </c>
      <c r="E72" s="119">
        <f>17*5*1.0775</f>
        <v>91.587499999999991</v>
      </c>
      <c r="F72" s="123"/>
    </row>
    <row r="73" spans="1:6" x14ac:dyDescent="0.2">
      <c r="A73" s="89"/>
      <c r="B73" s="42"/>
      <c r="C73" s="43" t="s">
        <v>81</v>
      </c>
      <c r="D73" s="45" t="s">
        <v>89</v>
      </c>
      <c r="E73" s="121">
        <f>4*5.29*1.0775</f>
        <v>22.799899999999997</v>
      </c>
      <c r="F73" s="137"/>
    </row>
    <row r="74" spans="1:6" x14ac:dyDescent="0.2">
      <c r="A74" s="89"/>
      <c r="B74" s="42"/>
      <c r="C74" s="43" t="s">
        <v>100</v>
      </c>
      <c r="D74" s="45" t="s">
        <v>110</v>
      </c>
      <c r="E74" s="121">
        <f>30*1.0775</f>
        <v>32.324999999999996</v>
      </c>
      <c r="F74" s="137"/>
    </row>
    <row r="75" spans="1:6" x14ac:dyDescent="0.2">
      <c r="A75" s="138"/>
      <c r="B75" s="42"/>
      <c r="C75" s="43" t="s">
        <v>105</v>
      </c>
      <c r="D75" s="44" t="s">
        <v>111</v>
      </c>
      <c r="E75" s="121">
        <f>15*2*1.0775</f>
        <v>32.324999999999996</v>
      </c>
      <c r="F75" s="137"/>
    </row>
    <row r="76" spans="1:6" x14ac:dyDescent="0.2">
      <c r="A76" s="138"/>
      <c r="B76" s="42"/>
      <c r="C76" s="43" t="s">
        <v>107</v>
      </c>
      <c r="D76" s="45" t="s">
        <v>217</v>
      </c>
      <c r="E76" s="121">
        <f>6*8*1.0775</f>
        <v>51.72</v>
      </c>
      <c r="F76" s="137"/>
    </row>
    <row r="77" spans="1:6" x14ac:dyDescent="0.2">
      <c r="A77" s="138"/>
      <c r="B77" s="42"/>
      <c r="C77" s="43" t="s">
        <v>108</v>
      </c>
      <c r="D77" s="45" t="s">
        <v>218</v>
      </c>
      <c r="E77" s="121">
        <f>11*1.0775</f>
        <v>11.852499999999999</v>
      </c>
      <c r="F77" s="137"/>
    </row>
    <row r="78" spans="1:6" x14ac:dyDescent="0.2">
      <c r="A78" s="138"/>
      <c r="B78" s="42"/>
      <c r="C78" s="43" t="s">
        <v>112</v>
      </c>
      <c r="D78" s="45" t="s">
        <v>219</v>
      </c>
      <c r="E78" s="121">
        <f>50*1.0775</f>
        <v>53.874999999999993</v>
      </c>
      <c r="F78" s="137"/>
    </row>
    <row r="79" spans="1:6" ht="13.5" thickBot="1" x14ac:dyDescent="0.25">
      <c r="A79" s="138"/>
      <c r="B79" s="36"/>
      <c r="C79" s="37" t="s">
        <v>104</v>
      </c>
      <c r="D79" s="46" t="s">
        <v>220</v>
      </c>
      <c r="E79" s="122">
        <f>15*3*1.0775</f>
        <v>48.487499999999997</v>
      </c>
      <c r="F79" s="124"/>
    </row>
    <row r="80" spans="1:6" x14ac:dyDescent="0.2">
      <c r="A80" s="141"/>
      <c r="B80" s="32" t="s">
        <v>36</v>
      </c>
      <c r="C80" s="33"/>
      <c r="D80" s="41"/>
      <c r="E80" s="112"/>
      <c r="F80" s="97">
        <f>SUM(E81:E86)</f>
        <v>280.89347500000002</v>
      </c>
    </row>
    <row r="81" spans="1:6" x14ac:dyDescent="0.2">
      <c r="A81" s="89"/>
      <c r="B81" s="34"/>
      <c r="C81" s="35" t="s">
        <v>37</v>
      </c>
      <c r="D81" s="44" t="s">
        <v>82</v>
      </c>
      <c r="E81" s="119">
        <f>100*0.99*1.0775</f>
        <v>106.67249999999999</v>
      </c>
      <c r="F81" s="123"/>
    </row>
    <row r="82" spans="1:6" x14ac:dyDescent="0.2">
      <c r="A82" s="89"/>
      <c r="B82" s="92"/>
      <c r="C82" s="13" t="s">
        <v>80</v>
      </c>
      <c r="D82" s="93" t="s">
        <v>101</v>
      </c>
      <c r="E82" s="120">
        <f>15*1.29*1.0775</f>
        <v>20.849625</v>
      </c>
      <c r="F82" s="139"/>
    </row>
    <row r="83" spans="1:6" x14ac:dyDescent="0.2">
      <c r="A83" s="89"/>
      <c r="B83" s="42"/>
      <c r="C83" s="43" t="s">
        <v>39</v>
      </c>
      <c r="D83" s="45" t="s">
        <v>83</v>
      </c>
      <c r="E83" s="121">
        <f>11*5.29*1.0775</f>
        <v>62.699724999999994</v>
      </c>
      <c r="F83" s="137"/>
    </row>
    <row r="84" spans="1:6" x14ac:dyDescent="0.2">
      <c r="A84" s="89"/>
      <c r="B84" s="42"/>
      <c r="C84" s="43" t="s">
        <v>81</v>
      </c>
      <c r="D84" s="45" t="s">
        <v>84</v>
      </c>
      <c r="E84" s="121">
        <f>5*5.29*1.0775</f>
        <v>28.499874999999996</v>
      </c>
      <c r="F84" s="137"/>
    </row>
    <row r="85" spans="1:6" x14ac:dyDescent="0.2">
      <c r="A85" s="89"/>
      <c r="B85" s="42"/>
      <c r="C85" s="43" t="s">
        <v>90</v>
      </c>
      <c r="D85" s="45" t="s">
        <v>91</v>
      </c>
      <c r="E85" s="121">
        <f>2*20*1.0775</f>
        <v>43.099999999999994</v>
      </c>
      <c r="F85" s="137"/>
    </row>
    <row r="86" spans="1:6" ht="13.5" thickBot="1" x14ac:dyDescent="0.25">
      <c r="A86" s="138"/>
      <c r="B86" s="42"/>
      <c r="C86" s="43" t="s">
        <v>40</v>
      </c>
      <c r="D86" s="45" t="s">
        <v>85</v>
      </c>
      <c r="E86" s="121">
        <f>1*17.7*1.0775</f>
        <v>19.071749999999998</v>
      </c>
      <c r="F86" s="137"/>
    </row>
    <row r="87" spans="1:6" ht="15.75" customHeight="1" thickBot="1" x14ac:dyDescent="0.25">
      <c r="A87" s="284" t="s">
        <v>2</v>
      </c>
      <c r="B87" s="285"/>
      <c r="C87" s="285"/>
      <c r="D87" s="285"/>
      <c r="E87" s="286"/>
      <c r="F87" s="130">
        <f>SUM(F60:F86)</f>
        <v>1176.2683750000001</v>
      </c>
    </row>
    <row r="88" spans="1:6" ht="13.5" thickBot="1" x14ac:dyDescent="0.25">
      <c r="A88" s="271" t="s">
        <v>4</v>
      </c>
      <c r="B88" s="272"/>
      <c r="C88" s="273"/>
      <c r="D88" s="273"/>
      <c r="E88" s="155"/>
      <c r="F88" s="270">
        <f>SUM(F41+F44+F47+F58+F87)</f>
        <v>4847.2987499999999</v>
      </c>
    </row>
  </sheetData>
  <mergeCells count="12">
    <mergeCell ref="A42:F42"/>
    <mergeCell ref="A44:E44"/>
    <mergeCell ref="A58:E58"/>
    <mergeCell ref="A41:E41"/>
    <mergeCell ref="A1:C1"/>
    <mergeCell ref="A2:F2"/>
    <mergeCell ref="A88:D88"/>
    <mergeCell ref="A45:F45"/>
    <mergeCell ref="A48:F48"/>
    <mergeCell ref="A59:F59"/>
    <mergeCell ref="A87:E87"/>
    <mergeCell ref="A47:E47"/>
  </mergeCells>
  <pageMargins left="0.25" right="0.25" top="0.75" bottom="0.75" header="0.3" footer="0.3"/>
  <pageSetup orientation="portrait" r:id="rId1"/>
  <headerFooter>
    <oddHeader>&amp;C&amp;"-,Bold"&amp;12Summer Summit 2011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0"/>
  <sheetViews>
    <sheetView showWhiteSpace="0" view="pageLayout" topLeftCell="A85" zoomScale="110" zoomScaleNormal="100" zoomScalePageLayoutView="110" workbookViewId="0">
      <selection activeCell="G48" sqref="G48"/>
    </sheetView>
  </sheetViews>
  <sheetFormatPr defaultRowHeight="12.75" x14ac:dyDescent="0.2"/>
  <cols>
    <col min="1" max="1" width="12.140625" style="11" customWidth="1"/>
    <col min="2" max="2" width="3.42578125" style="11" customWidth="1"/>
    <col min="3" max="3" width="24.42578125" style="13" customWidth="1"/>
    <col min="4" max="4" width="21.5703125" style="11" customWidth="1"/>
    <col min="5" max="7" width="13.42578125" style="12" customWidth="1"/>
    <col min="8" max="8" width="13.42578125" style="3" customWidth="1"/>
    <col min="9" max="16384" width="9.140625" style="3"/>
  </cols>
  <sheetData>
    <row r="1" spans="1:8" ht="13.5" thickBot="1" x14ac:dyDescent="0.25">
      <c r="A1" s="310" t="s">
        <v>0</v>
      </c>
      <c r="B1" s="311"/>
      <c r="C1" s="312"/>
      <c r="D1" s="206" t="s">
        <v>1</v>
      </c>
      <c r="E1" s="207"/>
      <c r="F1" s="208" t="s">
        <v>2</v>
      </c>
      <c r="G1" s="209" t="s">
        <v>144</v>
      </c>
    </row>
    <row r="2" spans="1:8" ht="16.5" customHeight="1" thickBot="1" x14ac:dyDescent="0.25">
      <c r="A2" s="300" t="s">
        <v>51</v>
      </c>
      <c r="B2" s="301"/>
      <c r="C2" s="301"/>
      <c r="D2" s="301"/>
      <c r="E2" s="301"/>
      <c r="F2" s="301"/>
      <c r="G2" s="302"/>
    </row>
    <row r="3" spans="1:8" x14ac:dyDescent="0.2">
      <c r="A3" s="64"/>
      <c r="B3" s="40" t="s">
        <v>11</v>
      </c>
      <c r="C3" s="25"/>
      <c r="D3" s="28"/>
      <c r="E3" s="106"/>
      <c r="F3" s="157">
        <f>SUM(E4:E8)</f>
        <v>538.19437500000004</v>
      </c>
      <c r="G3" s="254">
        <v>503.88</v>
      </c>
    </row>
    <row r="4" spans="1:8" x14ac:dyDescent="0.2">
      <c r="A4" s="29"/>
      <c r="B4" s="29"/>
      <c r="C4" s="1" t="s">
        <v>8</v>
      </c>
      <c r="D4" s="2" t="s">
        <v>134</v>
      </c>
      <c r="E4" s="102">
        <f>1*70.95+1.0875</f>
        <v>72.037500000000009</v>
      </c>
      <c r="F4" s="158"/>
      <c r="G4" s="252"/>
    </row>
    <row r="5" spans="1:8" x14ac:dyDescent="0.2">
      <c r="A5" s="29"/>
      <c r="B5" s="29"/>
      <c r="C5" s="1" t="s">
        <v>122</v>
      </c>
      <c r="D5" s="2" t="s">
        <v>135</v>
      </c>
      <c r="E5" s="102">
        <f>2*65.95*1.0875</f>
        <v>143.44125</v>
      </c>
      <c r="F5" s="158"/>
      <c r="G5" s="176"/>
      <c r="H5" s="9"/>
    </row>
    <row r="6" spans="1:8" x14ac:dyDescent="0.2">
      <c r="A6" s="29"/>
      <c r="B6" s="29"/>
      <c r="C6" s="1" t="s">
        <v>12</v>
      </c>
      <c r="D6" s="2" t="s">
        <v>136</v>
      </c>
      <c r="E6" s="102">
        <f>2*89.95*1.0875</f>
        <v>195.64124999999999</v>
      </c>
      <c r="F6" s="158"/>
      <c r="G6" s="176"/>
    </row>
    <row r="7" spans="1:8" x14ac:dyDescent="0.2">
      <c r="A7" s="72"/>
      <c r="B7" s="72"/>
      <c r="C7" s="1" t="s">
        <v>13</v>
      </c>
      <c r="D7" s="2" t="s">
        <v>137</v>
      </c>
      <c r="E7" s="102">
        <f>1*44.95*1.0875</f>
        <v>48.883125</v>
      </c>
      <c r="F7" s="158"/>
      <c r="G7" s="176"/>
      <c r="H7" s="10"/>
    </row>
    <row r="8" spans="1:8" ht="13.5" thickBot="1" x14ac:dyDescent="0.25">
      <c r="A8" s="72"/>
      <c r="B8" s="214"/>
      <c r="C8" s="192" t="s">
        <v>9</v>
      </c>
      <c r="D8" s="26" t="s">
        <v>138</v>
      </c>
      <c r="E8" s="215">
        <f>2*35.95*1.0875</f>
        <v>78.191249999999997</v>
      </c>
      <c r="F8" s="216"/>
      <c r="G8" s="193"/>
      <c r="H8" s="10"/>
    </row>
    <row r="9" spans="1:8" x14ac:dyDescent="0.2">
      <c r="A9" s="72"/>
      <c r="B9" s="40" t="s">
        <v>145</v>
      </c>
      <c r="C9" s="25"/>
      <c r="D9" s="28"/>
      <c r="E9" s="106"/>
      <c r="F9" s="191">
        <f>SUM(E10:E12)</f>
        <v>190.31249999999997</v>
      </c>
      <c r="G9" s="90">
        <v>146</v>
      </c>
      <c r="H9" s="10"/>
    </row>
    <row r="10" spans="1:8" x14ac:dyDescent="0.2">
      <c r="A10" s="72"/>
      <c r="B10" s="72"/>
      <c r="C10" s="1" t="s">
        <v>124</v>
      </c>
      <c r="D10" s="2" t="s">
        <v>123</v>
      </c>
      <c r="E10" s="104">
        <f>3*35*1.0875</f>
        <v>114.18749999999999</v>
      </c>
      <c r="F10" s="159"/>
      <c r="G10" s="176"/>
      <c r="H10" s="10"/>
    </row>
    <row r="11" spans="1:8" x14ac:dyDescent="0.2">
      <c r="A11" s="72"/>
      <c r="B11" s="78"/>
      <c r="C11" s="4" t="s">
        <v>125</v>
      </c>
      <c r="D11" s="5" t="s">
        <v>126</v>
      </c>
      <c r="E11" s="151">
        <f>50*1.0875</f>
        <v>54.374999999999993</v>
      </c>
      <c r="F11" s="160"/>
      <c r="G11" s="176"/>
    </row>
    <row r="12" spans="1:8" ht="13.5" thickBot="1" x14ac:dyDescent="0.25">
      <c r="A12" s="72"/>
      <c r="B12" s="214"/>
      <c r="C12" s="192" t="s">
        <v>28</v>
      </c>
      <c r="D12" s="26" t="s">
        <v>127</v>
      </c>
      <c r="E12" s="113">
        <f>20*1.0875</f>
        <v>21.75</v>
      </c>
      <c r="F12" s="165"/>
      <c r="G12" s="193"/>
    </row>
    <row r="13" spans="1:8" x14ac:dyDescent="0.2">
      <c r="A13" s="72"/>
      <c r="B13" s="40" t="s">
        <v>41</v>
      </c>
      <c r="C13" s="25"/>
      <c r="D13" s="28"/>
      <c r="E13" s="106"/>
      <c r="F13" s="191">
        <v>430</v>
      </c>
      <c r="G13" s="253">
        <v>433.16</v>
      </c>
    </row>
    <row r="14" spans="1:8" x14ac:dyDescent="0.2">
      <c r="A14" s="72"/>
      <c r="B14" s="72"/>
      <c r="C14" s="1" t="s">
        <v>15</v>
      </c>
      <c r="D14" s="2" t="s">
        <v>128</v>
      </c>
      <c r="E14" s="104"/>
      <c r="F14" s="159"/>
      <c r="G14" s="176"/>
    </row>
    <row r="15" spans="1:8" x14ac:dyDescent="0.2">
      <c r="A15" s="72"/>
      <c r="B15" s="72"/>
      <c r="C15" s="1" t="s">
        <v>10</v>
      </c>
      <c r="D15" s="7">
        <v>75</v>
      </c>
      <c r="E15" s="104"/>
      <c r="F15" s="159"/>
      <c r="G15" s="176"/>
    </row>
    <row r="16" spans="1:8" x14ac:dyDescent="0.2">
      <c r="A16" s="72"/>
      <c r="B16" s="72"/>
      <c r="C16" s="1" t="s">
        <v>16</v>
      </c>
      <c r="D16" s="7">
        <v>75</v>
      </c>
      <c r="E16" s="104"/>
      <c r="F16" s="159"/>
      <c r="G16" s="176"/>
    </row>
    <row r="17" spans="1:7" x14ac:dyDescent="0.2">
      <c r="A17" s="72"/>
      <c r="B17" s="72"/>
      <c r="C17" s="1" t="s">
        <v>14</v>
      </c>
      <c r="D17" s="7" t="s">
        <v>140</v>
      </c>
      <c r="E17" s="104"/>
      <c r="F17" s="159"/>
      <c r="G17" s="176"/>
    </row>
    <row r="18" spans="1:7" ht="13.5" thickBot="1" x14ac:dyDescent="0.25">
      <c r="A18" s="72"/>
      <c r="B18" s="214"/>
      <c r="C18" s="192" t="s">
        <v>17</v>
      </c>
      <c r="D18" s="219" t="s">
        <v>139</v>
      </c>
      <c r="E18" s="113"/>
      <c r="F18" s="165"/>
      <c r="G18" s="193"/>
    </row>
    <row r="19" spans="1:7" x14ac:dyDescent="0.2">
      <c r="A19" s="72"/>
      <c r="B19" s="49" t="s">
        <v>34</v>
      </c>
      <c r="C19" s="210"/>
      <c r="D19" s="211"/>
      <c r="E19" s="212"/>
      <c r="F19" s="217">
        <f>SUM(E20:E24)</f>
        <v>318.09375</v>
      </c>
      <c r="G19" s="218">
        <v>268.62</v>
      </c>
    </row>
    <row r="20" spans="1:7" x14ac:dyDescent="0.2">
      <c r="A20" s="72"/>
      <c r="B20" s="21"/>
      <c r="C20" s="6" t="s">
        <v>129</v>
      </c>
      <c r="D20" s="8" t="s">
        <v>142</v>
      </c>
      <c r="E20" s="104">
        <f>28*1.0875</f>
        <v>30.449999999999996</v>
      </c>
      <c r="F20" s="161"/>
      <c r="G20" s="177"/>
    </row>
    <row r="21" spans="1:7" x14ac:dyDescent="0.2">
      <c r="A21" s="78"/>
      <c r="B21" s="150"/>
      <c r="C21" s="152" t="s">
        <v>130</v>
      </c>
      <c r="D21" s="153" t="s">
        <v>141</v>
      </c>
      <c r="E21" s="104">
        <f>20*1.0875</f>
        <v>21.75</v>
      </c>
      <c r="F21" s="162"/>
      <c r="G21" s="177"/>
    </row>
    <row r="22" spans="1:7" x14ac:dyDescent="0.2">
      <c r="A22" s="72"/>
      <c r="B22" s="21"/>
      <c r="C22" s="6" t="s">
        <v>131</v>
      </c>
      <c r="D22" s="8" t="s">
        <v>142</v>
      </c>
      <c r="E22" s="104">
        <f>28*1.0875</f>
        <v>30.449999999999996</v>
      </c>
      <c r="F22" s="161"/>
      <c r="G22" s="177"/>
    </row>
    <row r="23" spans="1:7" x14ac:dyDescent="0.2">
      <c r="A23" s="78"/>
      <c r="B23" s="150"/>
      <c r="C23" s="152" t="s">
        <v>132</v>
      </c>
      <c r="D23" s="153" t="s">
        <v>143</v>
      </c>
      <c r="E23" s="151">
        <f>18.5*1.0875</f>
        <v>20.118749999999999</v>
      </c>
      <c r="F23" s="162"/>
      <c r="G23" s="177"/>
    </row>
    <row r="24" spans="1:7" ht="13.5" thickBot="1" x14ac:dyDescent="0.25">
      <c r="A24" s="78"/>
      <c r="B24" s="150"/>
      <c r="C24" s="152" t="s">
        <v>27</v>
      </c>
      <c r="D24" s="153" t="s">
        <v>133</v>
      </c>
      <c r="E24" s="151">
        <f>3*66*1.0875</f>
        <v>215.32499999999999</v>
      </c>
      <c r="F24" s="162"/>
      <c r="G24" s="190"/>
    </row>
    <row r="25" spans="1:7" x14ac:dyDescent="0.2">
      <c r="A25" s="80"/>
      <c r="B25" s="40" t="s">
        <v>32</v>
      </c>
      <c r="C25" s="25"/>
      <c r="D25" s="28"/>
      <c r="E25" s="106"/>
      <c r="F25" s="191">
        <f>SUM(E26:E42)</f>
        <v>544</v>
      </c>
      <c r="G25" s="90">
        <v>653.22</v>
      </c>
    </row>
    <row r="26" spans="1:7" x14ac:dyDescent="0.2">
      <c r="A26" s="80"/>
      <c r="B26" s="29"/>
      <c r="C26" s="1" t="s">
        <v>19</v>
      </c>
      <c r="D26" s="8" t="s">
        <v>171</v>
      </c>
      <c r="E26" s="107">
        <f>2*30</f>
        <v>60</v>
      </c>
      <c r="F26" s="159"/>
      <c r="G26" s="176"/>
    </row>
    <row r="27" spans="1:7" x14ac:dyDescent="0.2">
      <c r="A27" s="80"/>
      <c r="B27" s="29"/>
      <c r="C27" s="6" t="s">
        <v>20</v>
      </c>
      <c r="D27" s="8" t="s">
        <v>163</v>
      </c>
      <c r="E27" s="107">
        <f>2.5*6</f>
        <v>15</v>
      </c>
      <c r="F27" s="159"/>
      <c r="G27" s="176"/>
    </row>
    <row r="28" spans="1:7" x14ac:dyDescent="0.2">
      <c r="A28" s="80"/>
      <c r="B28" s="29"/>
      <c r="C28" s="6" t="s">
        <v>21</v>
      </c>
      <c r="D28" s="8" t="s">
        <v>153</v>
      </c>
      <c r="E28" s="108">
        <f>4*17</f>
        <v>68</v>
      </c>
      <c r="F28" s="160"/>
      <c r="G28" s="176"/>
    </row>
    <row r="29" spans="1:7" x14ac:dyDescent="0.2">
      <c r="A29" s="80"/>
      <c r="B29" s="29"/>
      <c r="C29" s="1" t="s">
        <v>26</v>
      </c>
      <c r="D29" s="2" t="s">
        <v>167</v>
      </c>
      <c r="E29" s="107">
        <f>10*4</f>
        <v>40</v>
      </c>
      <c r="F29" s="159"/>
      <c r="G29" s="176"/>
    </row>
    <row r="30" spans="1:7" x14ac:dyDescent="0.2">
      <c r="A30" s="80"/>
      <c r="B30" s="29"/>
      <c r="C30" s="1" t="s">
        <v>164</v>
      </c>
      <c r="D30" s="2" t="s">
        <v>168</v>
      </c>
      <c r="E30" s="107">
        <f>9*3</f>
        <v>27</v>
      </c>
      <c r="F30" s="159"/>
      <c r="G30" s="176"/>
    </row>
    <row r="31" spans="1:7" x14ac:dyDescent="0.2">
      <c r="A31" s="80"/>
      <c r="B31" s="29"/>
      <c r="C31" s="1" t="s">
        <v>169</v>
      </c>
      <c r="D31" s="2" t="s">
        <v>170</v>
      </c>
      <c r="E31" s="107">
        <f>9</f>
        <v>9</v>
      </c>
      <c r="F31" s="159"/>
      <c r="G31" s="176"/>
    </row>
    <row r="32" spans="1:7" x14ac:dyDescent="0.2">
      <c r="A32" s="80"/>
      <c r="B32" s="194"/>
      <c r="C32" s="195" t="s">
        <v>5</v>
      </c>
      <c r="D32" s="196" t="s">
        <v>165</v>
      </c>
      <c r="E32" s="197">
        <f>4*3</f>
        <v>12</v>
      </c>
      <c r="F32" s="198"/>
      <c r="G32" s="176"/>
    </row>
    <row r="33" spans="1:7" x14ac:dyDescent="0.2">
      <c r="A33" s="80"/>
      <c r="B33" s="199"/>
      <c r="C33" s="55" t="s">
        <v>25</v>
      </c>
      <c r="D33" s="200" t="s">
        <v>52</v>
      </c>
      <c r="E33" s="201">
        <f>1*7.5</f>
        <v>7.5</v>
      </c>
      <c r="F33" s="202"/>
      <c r="G33" s="176"/>
    </row>
    <row r="34" spans="1:7" x14ac:dyDescent="0.2">
      <c r="A34" s="188"/>
      <c r="B34" s="199"/>
      <c r="C34" s="203" t="s">
        <v>7</v>
      </c>
      <c r="D34" s="204" t="s">
        <v>157</v>
      </c>
      <c r="E34" s="201">
        <f>3*10</f>
        <v>30</v>
      </c>
      <c r="F34" s="202"/>
      <c r="G34" s="176"/>
    </row>
    <row r="35" spans="1:7" x14ac:dyDescent="0.2">
      <c r="A35" s="189"/>
      <c r="B35" s="199"/>
      <c r="C35" s="55" t="s">
        <v>156</v>
      </c>
      <c r="D35" s="200" t="s">
        <v>173</v>
      </c>
      <c r="E35" s="201">
        <f>8*10</f>
        <v>80</v>
      </c>
      <c r="F35" s="202"/>
      <c r="G35" s="176"/>
    </row>
    <row r="36" spans="1:7" x14ac:dyDescent="0.2">
      <c r="A36" s="189"/>
      <c r="B36" s="199"/>
      <c r="C36" s="55" t="s">
        <v>154</v>
      </c>
      <c r="D36" s="200" t="s">
        <v>155</v>
      </c>
      <c r="E36" s="201">
        <f>2*20</f>
        <v>40</v>
      </c>
      <c r="F36" s="202"/>
      <c r="G36" s="176"/>
    </row>
    <row r="37" spans="1:7" x14ac:dyDescent="0.2">
      <c r="A37" s="189"/>
      <c r="B37" s="199"/>
      <c r="C37" s="55" t="s">
        <v>161</v>
      </c>
      <c r="D37" s="200" t="s">
        <v>162</v>
      </c>
      <c r="E37" s="201">
        <f>15*3</f>
        <v>45</v>
      </c>
      <c r="F37" s="202"/>
      <c r="G37" s="176"/>
    </row>
    <row r="38" spans="1:7" x14ac:dyDescent="0.2">
      <c r="A38" s="189"/>
      <c r="B38" s="199"/>
      <c r="C38" s="55" t="s">
        <v>159</v>
      </c>
      <c r="D38" s="200" t="s">
        <v>160</v>
      </c>
      <c r="E38" s="201">
        <f>5*4</f>
        <v>20</v>
      </c>
      <c r="F38" s="202"/>
      <c r="G38" s="176"/>
    </row>
    <row r="39" spans="1:7" x14ac:dyDescent="0.2">
      <c r="A39" s="189"/>
      <c r="B39" s="181"/>
      <c r="C39" s="182" t="s">
        <v>24</v>
      </c>
      <c r="D39" s="205" t="s">
        <v>166</v>
      </c>
      <c r="E39" s="184">
        <f>7.5*3</f>
        <v>22.5</v>
      </c>
      <c r="F39" s="185"/>
      <c r="G39" s="176"/>
    </row>
    <row r="40" spans="1:7" x14ac:dyDescent="0.2">
      <c r="A40" s="189"/>
      <c r="B40" s="64"/>
      <c r="C40" s="50" t="s">
        <v>172</v>
      </c>
      <c r="D40" s="2" t="s">
        <v>155</v>
      </c>
      <c r="E40" s="186">
        <f>10*2</f>
        <v>20</v>
      </c>
      <c r="F40" s="187"/>
      <c r="G40" s="176"/>
    </row>
    <row r="41" spans="1:7" x14ac:dyDescent="0.2">
      <c r="A41" s="29"/>
      <c r="B41" s="29"/>
      <c r="C41" s="1" t="s">
        <v>23</v>
      </c>
      <c r="D41" s="2" t="s">
        <v>53</v>
      </c>
      <c r="E41" s="107">
        <f>12*3</f>
        <v>36</v>
      </c>
      <c r="F41" s="159"/>
      <c r="G41" s="176"/>
    </row>
    <row r="42" spans="1:7" ht="13.5" thickBot="1" x14ac:dyDescent="0.25">
      <c r="A42" s="62"/>
      <c r="B42" s="62"/>
      <c r="C42" s="4" t="s">
        <v>22</v>
      </c>
      <c r="D42" s="5" t="s">
        <v>158</v>
      </c>
      <c r="E42" s="108">
        <f>2*6</f>
        <v>12</v>
      </c>
      <c r="F42" s="160"/>
      <c r="G42" s="183"/>
    </row>
    <row r="43" spans="1:7" ht="13.5" thickBot="1" x14ac:dyDescent="0.25">
      <c r="A43" s="284" t="s">
        <v>2</v>
      </c>
      <c r="B43" s="285"/>
      <c r="C43" s="285"/>
      <c r="D43" s="285"/>
      <c r="E43" s="286"/>
      <c r="F43" s="255">
        <f>SUM(F3:F42)</f>
        <v>2020.600625</v>
      </c>
      <c r="G43" s="130">
        <f>SUM(G3:G42)</f>
        <v>2004.8799999999999</v>
      </c>
    </row>
    <row r="44" spans="1:7" ht="15.75" customHeight="1" thickBot="1" x14ac:dyDescent="0.25">
      <c r="A44" s="300" t="s">
        <v>46</v>
      </c>
      <c r="B44" s="301"/>
      <c r="C44" s="301"/>
      <c r="D44" s="301"/>
      <c r="E44" s="301"/>
      <c r="F44" s="301"/>
      <c r="G44" s="302"/>
    </row>
    <row r="45" spans="1:7" x14ac:dyDescent="0.2">
      <c r="A45" s="83"/>
      <c r="B45" s="59" t="s">
        <v>50</v>
      </c>
      <c r="C45" s="68"/>
      <c r="D45" s="260"/>
      <c r="E45" s="223"/>
      <c r="F45" s="240">
        <f>SUM(E46:E50)</f>
        <v>23570.46</v>
      </c>
      <c r="G45" s="213"/>
    </row>
    <row r="46" spans="1:7" x14ac:dyDescent="0.2">
      <c r="A46" s="83"/>
      <c r="B46" s="59"/>
      <c r="C46" s="60" t="s">
        <v>117</v>
      </c>
      <c r="D46" s="61" t="s">
        <v>116</v>
      </c>
      <c r="E46" s="118">
        <f>195.5*96</f>
        <v>18768</v>
      </c>
      <c r="F46" s="164"/>
      <c r="G46" s="176">
        <f>195.91*96</f>
        <v>18807.36</v>
      </c>
    </row>
    <row r="47" spans="1:7" x14ac:dyDescent="0.2">
      <c r="A47" s="83"/>
      <c r="B47" s="54"/>
      <c r="C47" s="55" t="s">
        <v>62</v>
      </c>
      <c r="D47" s="57" t="s">
        <v>116</v>
      </c>
      <c r="E47" s="104">
        <f>195.5*19</f>
        <v>3714.5</v>
      </c>
      <c r="F47" s="159"/>
      <c r="G47" s="176">
        <f>228.07*19</f>
        <v>4333.33</v>
      </c>
    </row>
    <row r="48" spans="1:7" x14ac:dyDescent="0.2">
      <c r="A48" s="83"/>
      <c r="B48" s="54"/>
      <c r="C48" s="55" t="s">
        <v>61</v>
      </c>
      <c r="D48" s="2" t="s">
        <v>47</v>
      </c>
      <c r="E48" s="104">
        <f>28.84*19</f>
        <v>547.96</v>
      </c>
      <c r="F48" s="159"/>
      <c r="G48" s="176"/>
    </row>
    <row r="49" spans="1:7" x14ac:dyDescent="0.2">
      <c r="A49" s="84"/>
      <c r="B49" s="257"/>
      <c r="C49" s="58" t="s">
        <v>48</v>
      </c>
      <c r="D49" s="196" t="s">
        <v>49</v>
      </c>
      <c r="E49" s="259">
        <f>20*3*4</f>
        <v>240</v>
      </c>
      <c r="F49" s="160"/>
      <c r="G49" s="183">
        <f>80*3</f>
        <v>240</v>
      </c>
    </row>
    <row r="50" spans="1:7" ht="13.5" thickBot="1" x14ac:dyDescent="0.25">
      <c r="A50" s="85"/>
      <c r="B50" s="36"/>
      <c r="C50" s="56" t="s">
        <v>187</v>
      </c>
      <c r="D50" s="258" t="s">
        <v>188</v>
      </c>
      <c r="E50" s="229">
        <f>15*20</f>
        <v>300</v>
      </c>
      <c r="F50" s="165"/>
      <c r="G50" s="183">
        <v>179.34</v>
      </c>
    </row>
    <row r="51" spans="1:7" customFormat="1" ht="15.75" thickBot="1" x14ac:dyDescent="0.3">
      <c r="A51" s="284" t="s">
        <v>2</v>
      </c>
      <c r="B51" s="285"/>
      <c r="C51" s="285"/>
      <c r="D51" s="285"/>
      <c r="E51" s="286"/>
      <c r="F51" s="224">
        <f>SUM(F45:F50)</f>
        <v>23570.46</v>
      </c>
      <c r="G51" s="261">
        <f>SUM(G45:G50)</f>
        <v>23560.030000000002</v>
      </c>
    </row>
    <row r="52" spans="1:7" customFormat="1" ht="15.75" thickBot="1" x14ac:dyDescent="0.3">
      <c r="A52" s="300" t="s">
        <v>59</v>
      </c>
      <c r="B52" s="301"/>
      <c r="C52" s="301"/>
      <c r="D52" s="301"/>
      <c r="E52" s="301"/>
      <c r="F52" s="301"/>
      <c r="G52" s="302"/>
    </row>
    <row r="53" spans="1:7" customFormat="1" ht="15" x14ac:dyDescent="0.25">
      <c r="A53" s="83"/>
      <c r="B53" s="59" t="s">
        <v>68</v>
      </c>
      <c r="C53" s="68"/>
      <c r="D53" s="262" t="s">
        <v>63</v>
      </c>
      <c r="E53" s="223"/>
      <c r="F53" s="240">
        <f>9.5*19*100</f>
        <v>18050</v>
      </c>
      <c r="G53" s="213"/>
    </row>
    <row r="54" spans="1:7" customFormat="1" ht="15.75" thickBot="1" x14ac:dyDescent="0.3">
      <c r="A54" s="84"/>
      <c r="B54" s="92" t="s">
        <v>70</v>
      </c>
      <c r="C54" s="13"/>
      <c r="D54" s="129" t="s">
        <v>69</v>
      </c>
      <c r="E54" s="114"/>
      <c r="F54" s="166">
        <f>9.5*3*150</f>
        <v>4275</v>
      </c>
      <c r="G54" s="176"/>
    </row>
    <row r="55" spans="1:7" customFormat="1" ht="15.75" thickBot="1" x14ac:dyDescent="0.3">
      <c r="A55" s="284" t="s">
        <v>2</v>
      </c>
      <c r="B55" s="285"/>
      <c r="C55" s="285"/>
      <c r="D55" s="285"/>
      <c r="E55" s="286"/>
      <c r="F55" s="263">
        <f>SUM(F53:F54)</f>
        <v>22325</v>
      </c>
      <c r="G55" s="261">
        <v>19040.66</v>
      </c>
    </row>
    <row r="56" spans="1:7" ht="15.75" customHeight="1" thickBot="1" x14ac:dyDescent="0.25">
      <c r="A56" s="300" t="s">
        <v>118</v>
      </c>
      <c r="B56" s="301"/>
      <c r="C56" s="301"/>
      <c r="D56" s="301"/>
      <c r="E56" s="301"/>
      <c r="F56" s="301"/>
      <c r="G56" s="302"/>
    </row>
    <row r="57" spans="1:7" ht="13.5" thickBot="1" x14ac:dyDescent="0.25">
      <c r="A57" s="264"/>
      <c r="B57" s="226" t="s">
        <v>119</v>
      </c>
      <c r="C57" s="265"/>
      <c r="D57" s="266" t="s">
        <v>120</v>
      </c>
      <c r="E57" s="229"/>
      <c r="F57" s="267">
        <f>6.5*175</f>
        <v>1137.5</v>
      </c>
      <c r="G57" s="268">
        <v>1049.75</v>
      </c>
    </row>
    <row r="58" spans="1:7" ht="13.5" thickBot="1" x14ac:dyDescent="0.25">
      <c r="A58" s="305" t="s">
        <v>2</v>
      </c>
      <c r="B58" s="308"/>
      <c r="C58" s="308"/>
      <c r="D58" s="308"/>
      <c r="E58" s="309"/>
      <c r="F58" s="224">
        <f>SUM(F57)</f>
        <v>1137.5</v>
      </c>
      <c r="G58" s="247">
        <f>G57</f>
        <v>1049.75</v>
      </c>
    </row>
    <row r="59" spans="1:7" ht="15.75" customHeight="1" thickBot="1" x14ac:dyDescent="0.25">
      <c r="A59" s="300" t="s">
        <v>3</v>
      </c>
      <c r="B59" s="301"/>
      <c r="C59" s="301"/>
      <c r="D59" s="301"/>
      <c r="E59" s="301"/>
      <c r="F59" s="301"/>
      <c r="G59" s="302"/>
    </row>
    <row r="60" spans="1:7" ht="13.5" thickBot="1" x14ac:dyDescent="0.25">
      <c r="A60" s="86"/>
      <c r="B60" s="30" t="s">
        <v>78</v>
      </c>
      <c r="C60" s="27"/>
      <c r="D60" s="31" t="s">
        <v>77</v>
      </c>
      <c r="E60" s="115"/>
      <c r="F60" s="167">
        <v>160</v>
      </c>
      <c r="G60" s="243">
        <v>160</v>
      </c>
    </row>
    <row r="61" spans="1:7" ht="13.5" thickBot="1" x14ac:dyDescent="0.25">
      <c r="A61" s="284" t="s">
        <v>2</v>
      </c>
      <c r="B61" s="303"/>
      <c r="C61" s="303"/>
      <c r="D61" s="303"/>
      <c r="E61" s="304"/>
      <c r="F61" s="241">
        <f>SUM(F60)</f>
        <v>160</v>
      </c>
      <c r="G61" s="242">
        <f>G60</f>
        <v>160</v>
      </c>
    </row>
    <row r="62" spans="1:7" ht="16.5" customHeight="1" thickBot="1" x14ac:dyDescent="0.25">
      <c r="A62" s="300" t="s">
        <v>121</v>
      </c>
      <c r="B62" s="301"/>
      <c r="C62" s="301"/>
      <c r="D62" s="301"/>
      <c r="E62" s="301"/>
      <c r="F62" s="301"/>
      <c r="G62" s="302"/>
    </row>
    <row r="63" spans="1:7" x14ac:dyDescent="0.2">
      <c r="A63" s="64" t="s">
        <v>60</v>
      </c>
      <c r="B63" s="236" t="s">
        <v>65</v>
      </c>
      <c r="C63" s="237"/>
      <c r="D63" s="238"/>
      <c r="E63" s="239"/>
      <c r="F63" s="240">
        <f>SUM(E64:E69)</f>
        <v>525.47</v>
      </c>
      <c r="G63" s="213">
        <v>525.47</v>
      </c>
    </row>
    <row r="64" spans="1:7" x14ac:dyDescent="0.2">
      <c r="A64" s="29"/>
      <c r="B64" s="232"/>
      <c r="C64" s="50" t="s">
        <v>42</v>
      </c>
      <c r="D64" s="61" t="s">
        <v>71</v>
      </c>
      <c r="E64" s="146">
        <f>1.27*135</f>
        <v>171.45</v>
      </c>
      <c r="F64" s="168"/>
      <c r="G64" s="178"/>
    </row>
    <row r="65" spans="1:7" x14ac:dyDescent="0.2">
      <c r="A65" s="62"/>
      <c r="B65" s="72"/>
      <c r="C65" s="1" t="s">
        <v>43</v>
      </c>
      <c r="D65" s="67" t="s">
        <v>79</v>
      </c>
      <c r="E65" s="147">
        <f>10.73*17</f>
        <v>182.41</v>
      </c>
      <c r="F65" s="169"/>
      <c r="G65" s="179"/>
    </row>
    <row r="66" spans="1:7" x14ac:dyDescent="0.2">
      <c r="A66" s="78"/>
      <c r="B66" s="72"/>
      <c r="C66" s="1" t="s">
        <v>76</v>
      </c>
      <c r="D66" s="47" t="s">
        <v>72</v>
      </c>
      <c r="E66" s="147">
        <f>9.9*8</f>
        <v>79.2</v>
      </c>
      <c r="F66" s="169"/>
      <c r="G66" s="179"/>
    </row>
    <row r="67" spans="1:7" x14ac:dyDescent="0.2">
      <c r="A67" s="78"/>
      <c r="B67" s="72"/>
      <c r="C67" s="1" t="s">
        <v>44</v>
      </c>
      <c r="D67" s="47" t="s">
        <v>73</v>
      </c>
      <c r="E67" s="147">
        <f>9.63*6</f>
        <v>57.78</v>
      </c>
      <c r="F67" s="169"/>
      <c r="G67" s="179"/>
    </row>
    <row r="68" spans="1:7" x14ac:dyDescent="0.2">
      <c r="A68" s="78"/>
      <c r="B68" s="72"/>
      <c r="C68" s="1" t="s">
        <v>74</v>
      </c>
      <c r="D68" s="47" t="s">
        <v>75</v>
      </c>
      <c r="E68" s="147">
        <f>9.63</f>
        <v>9.6300000000000008</v>
      </c>
      <c r="F68" s="169"/>
      <c r="G68" s="179"/>
    </row>
    <row r="69" spans="1:7" ht="13.5" thickBot="1" x14ac:dyDescent="0.25">
      <c r="A69" s="63"/>
      <c r="B69" s="214"/>
      <c r="C69" s="192" t="s">
        <v>45</v>
      </c>
      <c r="D69" s="233">
        <v>25</v>
      </c>
      <c r="E69" s="148">
        <v>25</v>
      </c>
      <c r="F69" s="234"/>
      <c r="G69" s="235"/>
    </row>
    <row r="70" spans="1:7" x14ac:dyDescent="0.2">
      <c r="A70" s="64" t="s">
        <v>186</v>
      </c>
      <c r="B70" s="236" t="s">
        <v>179</v>
      </c>
      <c r="C70" s="237"/>
      <c r="D70" s="238"/>
      <c r="E70" s="239"/>
      <c r="F70" s="240">
        <f>SUM(E71:E73)</f>
        <v>0</v>
      </c>
      <c r="G70" s="213">
        <f>6*6+(12*3)+10+6+48</f>
        <v>136</v>
      </c>
    </row>
    <row r="71" spans="1:7" x14ac:dyDescent="0.2">
      <c r="A71" s="29"/>
      <c r="B71" s="232"/>
      <c r="C71" s="50" t="s">
        <v>180</v>
      </c>
      <c r="D71" s="61" t="s">
        <v>181</v>
      </c>
      <c r="E71" s="146"/>
      <c r="F71" s="168"/>
      <c r="G71" s="178"/>
    </row>
    <row r="72" spans="1:7" x14ac:dyDescent="0.2">
      <c r="A72" s="62"/>
      <c r="B72" s="72"/>
      <c r="C72" s="1" t="s">
        <v>182</v>
      </c>
      <c r="D72" s="67" t="s">
        <v>183</v>
      </c>
      <c r="E72" s="147"/>
      <c r="F72" s="169"/>
      <c r="G72" s="179"/>
    </row>
    <row r="73" spans="1:7" ht="13.5" thickBot="1" x14ac:dyDescent="0.25">
      <c r="A73" s="78"/>
      <c r="B73" s="72"/>
      <c r="C73" s="1" t="s">
        <v>184</v>
      </c>
      <c r="D73" s="47" t="s">
        <v>185</v>
      </c>
      <c r="E73" s="147"/>
      <c r="F73" s="169"/>
      <c r="G73" s="179"/>
    </row>
    <row r="74" spans="1:7" x14ac:dyDescent="0.2">
      <c r="A74" s="71" t="s">
        <v>57</v>
      </c>
      <c r="B74" s="51" t="s">
        <v>66</v>
      </c>
      <c r="C74" s="52"/>
      <c r="D74" s="53"/>
      <c r="E74" s="116"/>
      <c r="F74" s="163"/>
      <c r="G74" s="90"/>
    </row>
    <row r="75" spans="1:7" ht="13.5" thickBot="1" x14ac:dyDescent="0.25">
      <c r="A75" s="62"/>
      <c r="B75" s="226"/>
      <c r="C75" s="227" t="s">
        <v>58</v>
      </c>
      <c r="D75" s="228">
        <v>165</v>
      </c>
      <c r="E75" s="229"/>
      <c r="F75" s="230">
        <v>165</v>
      </c>
      <c r="G75" s="231">
        <v>146.25</v>
      </c>
    </row>
    <row r="76" spans="1:7" ht="13.5" thickBot="1" x14ac:dyDescent="0.25">
      <c r="A76" s="305" t="s">
        <v>2</v>
      </c>
      <c r="B76" s="306"/>
      <c r="C76" s="306"/>
      <c r="D76" s="306"/>
      <c r="E76" s="307"/>
      <c r="F76" s="224">
        <f>F63+F75</f>
        <v>690.47</v>
      </c>
      <c r="G76" s="225">
        <f>SUM(G63:G75)</f>
        <v>807.72</v>
      </c>
    </row>
    <row r="77" spans="1:7" ht="15.75" customHeight="1" thickBot="1" x14ac:dyDescent="0.25">
      <c r="A77" s="300" t="s">
        <v>6</v>
      </c>
      <c r="B77" s="301"/>
      <c r="C77" s="301"/>
      <c r="D77" s="301"/>
      <c r="E77" s="301"/>
      <c r="F77" s="301"/>
      <c r="G77" s="302"/>
    </row>
    <row r="78" spans="1:7" x14ac:dyDescent="0.2">
      <c r="A78" s="251"/>
      <c r="B78" s="32" t="s">
        <v>33</v>
      </c>
      <c r="C78" s="33"/>
      <c r="D78" s="33"/>
      <c r="E78" s="112"/>
      <c r="F78" s="170">
        <f>SUM(E79:E81)</f>
        <v>301.5</v>
      </c>
      <c r="G78" s="90">
        <v>261.5</v>
      </c>
    </row>
    <row r="79" spans="1:7" x14ac:dyDescent="0.2">
      <c r="A79" s="89"/>
      <c r="B79" s="34"/>
      <c r="C79" s="35" t="s">
        <v>29</v>
      </c>
      <c r="D79" s="38" t="s">
        <v>56</v>
      </c>
      <c r="E79" s="126">
        <f>2*5*13.5</f>
        <v>135</v>
      </c>
      <c r="F79" s="171"/>
      <c r="G79" s="95"/>
    </row>
    <row r="80" spans="1:7" x14ac:dyDescent="0.2">
      <c r="A80" s="89"/>
      <c r="B80" s="34"/>
      <c r="C80" s="35" t="s">
        <v>30</v>
      </c>
      <c r="D80" s="38" t="s">
        <v>55</v>
      </c>
      <c r="E80" s="126">
        <f>50*2</f>
        <v>100</v>
      </c>
      <c r="F80" s="171"/>
      <c r="G80" s="95"/>
    </row>
    <row r="81" spans="1:7" ht="13.5" thickBot="1" x14ac:dyDescent="0.25">
      <c r="A81" s="89"/>
      <c r="B81" s="36"/>
      <c r="C81" s="37" t="s">
        <v>31</v>
      </c>
      <c r="D81" s="39" t="s">
        <v>54</v>
      </c>
      <c r="E81" s="127">
        <f>33.25*2</f>
        <v>66.5</v>
      </c>
      <c r="F81" s="172"/>
      <c r="G81" s="96"/>
    </row>
    <row r="82" spans="1:7" x14ac:dyDescent="0.2">
      <c r="A82" s="89"/>
      <c r="B82" s="59" t="s">
        <v>67</v>
      </c>
      <c r="C82" s="68"/>
      <c r="D82" s="60"/>
      <c r="E82" s="220"/>
      <c r="F82" s="221">
        <v>400</v>
      </c>
      <c r="G82" s="222">
        <v>511.12</v>
      </c>
    </row>
    <row r="83" spans="1:7" ht="13.5" thickBot="1" x14ac:dyDescent="0.25">
      <c r="A83" s="89"/>
      <c r="B83" s="36"/>
      <c r="C83" s="37" t="s">
        <v>64</v>
      </c>
      <c r="D83" s="69">
        <v>400</v>
      </c>
      <c r="E83" s="128">
        <v>400</v>
      </c>
      <c r="F83" s="172"/>
      <c r="G83" s="180"/>
    </row>
    <row r="84" spans="1:7" x14ac:dyDescent="0.2">
      <c r="A84" s="89"/>
      <c r="B84" s="59" t="s">
        <v>176</v>
      </c>
      <c r="C84" s="68"/>
      <c r="D84" s="60"/>
      <c r="E84" s="220"/>
      <c r="F84" s="221">
        <v>400</v>
      </c>
      <c r="G84" s="269"/>
    </row>
    <row r="85" spans="1:7" ht="13.5" thickBot="1" x14ac:dyDescent="0.25">
      <c r="A85" s="89"/>
      <c r="B85" s="36"/>
      <c r="C85" s="37" t="s">
        <v>177</v>
      </c>
      <c r="D85" s="69" t="s">
        <v>178</v>
      </c>
      <c r="E85" s="128">
        <v>400</v>
      </c>
      <c r="F85" s="172"/>
      <c r="G85" s="180"/>
    </row>
    <row r="86" spans="1:7" x14ac:dyDescent="0.2">
      <c r="A86" s="89"/>
      <c r="B86" s="32" t="s">
        <v>146</v>
      </c>
      <c r="C86" s="33"/>
      <c r="D86" s="33"/>
      <c r="E86" s="112"/>
      <c r="F86" s="170">
        <f>SUM(E87:E89)</f>
        <v>88.892250000000004</v>
      </c>
      <c r="G86" s="90">
        <v>88.07</v>
      </c>
    </row>
    <row r="87" spans="1:7" x14ac:dyDescent="0.2">
      <c r="A87" s="89"/>
      <c r="B87" s="34"/>
      <c r="C87" s="35" t="s">
        <v>147</v>
      </c>
      <c r="D87" s="38" t="s">
        <v>152</v>
      </c>
      <c r="E87" s="126">
        <f>8*1.99*1.0875</f>
        <v>17.312999999999999</v>
      </c>
      <c r="F87" s="171"/>
      <c r="G87" s="95"/>
    </row>
    <row r="88" spans="1:7" x14ac:dyDescent="0.2">
      <c r="A88" s="89"/>
      <c r="B88" s="34"/>
      <c r="C88" s="35" t="s">
        <v>148</v>
      </c>
      <c r="D88" s="38" t="s">
        <v>151</v>
      </c>
      <c r="E88" s="126">
        <f>17*2.99*1.0875</f>
        <v>55.277625</v>
      </c>
      <c r="F88" s="171"/>
      <c r="G88" s="95"/>
    </row>
    <row r="89" spans="1:7" ht="13.5" thickBot="1" x14ac:dyDescent="0.25">
      <c r="A89" s="89"/>
      <c r="B89" s="42"/>
      <c r="C89" s="43" t="s">
        <v>149</v>
      </c>
      <c r="D89" s="248" t="s">
        <v>150</v>
      </c>
      <c r="E89" s="249">
        <f>1*14.99*1.0875</f>
        <v>16.301624999999998</v>
      </c>
      <c r="F89" s="175"/>
      <c r="G89" s="180"/>
    </row>
    <row r="90" spans="1:7" x14ac:dyDescent="0.2">
      <c r="A90" s="89"/>
      <c r="B90" s="32" t="s">
        <v>86</v>
      </c>
      <c r="C90" s="33"/>
      <c r="D90" s="41"/>
      <c r="E90" s="142"/>
      <c r="F90" s="173">
        <f>SUM(E91:E93)</f>
        <v>400.17500000000001</v>
      </c>
      <c r="G90" s="244">
        <f>323.75+54.94</f>
        <v>378.69</v>
      </c>
    </row>
    <row r="91" spans="1:7" x14ac:dyDescent="0.2">
      <c r="A91" s="89"/>
      <c r="B91" s="34"/>
      <c r="C91" s="35" t="s">
        <v>38</v>
      </c>
      <c r="D91" s="55" t="s">
        <v>87</v>
      </c>
      <c r="E91" s="119">
        <f>120*0.25+1.0875</f>
        <v>31.087499999999999</v>
      </c>
      <c r="F91" s="171"/>
      <c r="G91" s="95"/>
    </row>
    <row r="92" spans="1:7" x14ac:dyDescent="0.2">
      <c r="A92" s="89"/>
      <c r="B92" s="42"/>
      <c r="C92" s="43" t="s">
        <v>96</v>
      </c>
      <c r="D92" s="58" t="s">
        <v>97</v>
      </c>
      <c r="E92" s="121">
        <f>20*1+1.0875</f>
        <v>21.087499999999999</v>
      </c>
      <c r="F92" s="175"/>
      <c r="G92" s="95"/>
    </row>
    <row r="93" spans="1:7" ht="13.5" thickBot="1" x14ac:dyDescent="0.25">
      <c r="A93" s="89"/>
      <c r="B93" s="36"/>
      <c r="C93" s="37" t="s">
        <v>174</v>
      </c>
      <c r="D93" s="56" t="s">
        <v>175</v>
      </c>
      <c r="E93" s="122">
        <f>4*80*1.0875</f>
        <v>348</v>
      </c>
      <c r="F93" s="172"/>
      <c r="G93" s="96"/>
    </row>
    <row r="94" spans="1:7" x14ac:dyDescent="0.2">
      <c r="A94" s="89"/>
      <c r="B94" s="59" t="s">
        <v>88</v>
      </c>
      <c r="C94" s="68"/>
      <c r="D94" s="60"/>
      <c r="E94" s="223"/>
      <c r="F94" s="250">
        <f>SUM(E95:E106)</f>
        <v>501.16</v>
      </c>
      <c r="G94" s="256"/>
    </row>
    <row r="95" spans="1:7" x14ac:dyDescent="0.2">
      <c r="A95" s="89"/>
      <c r="B95" s="34"/>
      <c r="C95" s="35" t="s">
        <v>92</v>
      </c>
      <c r="D95" s="44" t="s">
        <v>109</v>
      </c>
      <c r="E95" s="119">
        <f>20</f>
        <v>20</v>
      </c>
      <c r="F95" s="171"/>
      <c r="G95" s="95"/>
    </row>
    <row r="96" spans="1:7" x14ac:dyDescent="0.2">
      <c r="A96" s="89"/>
      <c r="B96" s="34"/>
      <c r="C96" s="35" t="s">
        <v>80</v>
      </c>
      <c r="D96" s="94" t="s">
        <v>102</v>
      </c>
      <c r="E96" s="119">
        <f>25*5</f>
        <v>125</v>
      </c>
      <c r="F96" s="171"/>
      <c r="G96" s="95"/>
    </row>
    <row r="97" spans="1:7" x14ac:dyDescent="0.2">
      <c r="A97" s="89"/>
      <c r="B97" s="34"/>
      <c r="C97" s="35" t="s">
        <v>95</v>
      </c>
      <c r="D97" s="94" t="s">
        <v>103</v>
      </c>
      <c r="E97" s="119">
        <f>4*4</f>
        <v>16</v>
      </c>
      <c r="F97" s="171"/>
      <c r="G97" s="95"/>
    </row>
    <row r="98" spans="1:7" x14ac:dyDescent="0.2">
      <c r="A98" s="89"/>
      <c r="B98" s="34"/>
      <c r="C98" s="35" t="s">
        <v>94</v>
      </c>
      <c r="D98" s="94" t="s">
        <v>98</v>
      </c>
      <c r="E98" s="119">
        <f>5*4</f>
        <v>20</v>
      </c>
      <c r="F98" s="171"/>
      <c r="G98" s="95"/>
    </row>
    <row r="99" spans="1:7" x14ac:dyDescent="0.2">
      <c r="A99" s="89"/>
      <c r="B99" s="34"/>
      <c r="C99" s="35" t="s">
        <v>93</v>
      </c>
      <c r="D99" s="94" t="s">
        <v>99</v>
      </c>
      <c r="E99" s="119">
        <f>17*5</f>
        <v>85</v>
      </c>
      <c r="F99" s="171"/>
      <c r="G99" s="95"/>
    </row>
    <row r="100" spans="1:7" x14ac:dyDescent="0.2">
      <c r="A100" s="89"/>
      <c r="B100" s="42"/>
      <c r="C100" s="43" t="s">
        <v>81</v>
      </c>
      <c r="D100" s="45" t="s">
        <v>89</v>
      </c>
      <c r="E100" s="121">
        <f>4*5.29</f>
        <v>21.16</v>
      </c>
      <c r="F100" s="175"/>
      <c r="G100" s="95"/>
    </row>
    <row r="101" spans="1:7" x14ac:dyDescent="0.2">
      <c r="A101" s="89"/>
      <c r="B101" s="42"/>
      <c r="C101" s="43" t="s">
        <v>100</v>
      </c>
      <c r="D101" s="45" t="s">
        <v>110</v>
      </c>
      <c r="E101" s="121">
        <f>30</f>
        <v>30</v>
      </c>
      <c r="F101" s="175"/>
      <c r="G101" s="95"/>
    </row>
    <row r="102" spans="1:7" x14ac:dyDescent="0.2">
      <c r="A102" s="138"/>
      <c r="B102" s="42"/>
      <c r="C102" s="43" t="s">
        <v>105</v>
      </c>
      <c r="D102" s="44" t="s">
        <v>111</v>
      </c>
      <c r="E102" s="121">
        <f>15*2</f>
        <v>30</v>
      </c>
      <c r="F102" s="175"/>
      <c r="G102" s="95"/>
    </row>
    <row r="103" spans="1:7" x14ac:dyDescent="0.2">
      <c r="A103" s="138"/>
      <c r="B103" s="42"/>
      <c r="C103" s="43" t="s">
        <v>107</v>
      </c>
      <c r="D103" s="45" t="s">
        <v>115</v>
      </c>
      <c r="E103" s="121">
        <f>6*8</f>
        <v>48</v>
      </c>
      <c r="F103" s="175"/>
      <c r="G103" s="95"/>
    </row>
    <row r="104" spans="1:7" x14ac:dyDescent="0.2">
      <c r="A104" s="138"/>
      <c r="B104" s="42"/>
      <c r="C104" s="43" t="s">
        <v>108</v>
      </c>
      <c r="D104" s="45" t="s">
        <v>114</v>
      </c>
      <c r="E104" s="121">
        <f>11</f>
        <v>11</v>
      </c>
      <c r="F104" s="175"/>
      <c r="G104" s="95"/>
    </row>
    <row r="105" spans="1:7" x14ac:dyDescent="0.2">
      <c r="A105" s="138"/>
      <c r="B105" s="42"/>
      <c r="C105" s="43" t="s">
        <v>112</v>
      </c>
      <c r="D105" s="45" t="s">
        <v>113</v>
      </c>
      <c r="E105" s="121">
        <f>50</f>
        <v>50</v>
      </c>
      <c r="F105" s="175"/>
      <c r="G105" s="95"/>
    </row>
    <row r="106" spans="1:7" ht="13.5" thickBot="1" x14ac:dyDescent="0.25">
      <c r="A106" s="138"/>
      <c r="B106" s="42"/>
      <c r="C106" s="43" t="s">
        <v>104</v>
      </c>
      <c r="D106" s="45" t="s">
        <v>106</v>
      </c>
      <c r="E106" s="121">
        <f>15*3</f>
        <v>45</v>
      </c>
      <c r="F106" s="175"/>
      <c r="G106" s="180"/>
    </row>
    <row r="107" spans="1:7" x14ac:dyDescent="0.2">
      <c r="A107" s="141"/>
      <c r="B107" s="32" t="s">
        <v>36</v>
      </c>
      <c r="C107" s="33"/>
      <c r="D107" s="41"/>
      <c r="E107" s="112"/>
      <c r="F107" s="174">
        <f>SUM(E108:E118)*1.0875</f>
        <v>532.36387499999989</v>
      </c>
      <c r="G107" s="244">
        <f>25.47+4.13+10.16+185.04+15.66+31.15+2.8+34.79+21.17+39.24+153.51</f>
        <v>523.12</v>
      </c>
    </row>
    <row r="108" spans="1:7" x14ac:dyDescent="0.2">
      <c r="A108" s="89"/>
      <c r="B108" s="34"/>
      <c r="C108" s="35" t="s">
        <v>37</v>
      </c>
      <c r="D108" s="44" t="s">
        <v>82</v>
      </c>
      <c r="E108" s="119">
        <f>100*0.99</f>
        <v>99</v>
      </c>
      <c r="F108" s="171"/>
      <c r="G108" s="95"/>
    </row>
    <row r="109" spans="1:7" x14ac:dyDescent="0.2">
      <c r="A109" s="89"/>
      <c r="B109" s="92"/>
      <c r="C109" s="13" t="s">
        <v>80</v>
      </c>
      <c r="D109" s="93" t="s">
        <v>199</v>
      </c>
      <c r="E109" s="120">
        <f>11*1.29</f>
        <v>14.190000000000001</v>
      </c>
      <c r="F109" s="156"/>
      <c r="G109" s="95"/>
    </row>
    <row r="110" spans="1:7" x14ac:dyDescent="0.2">
      <c r="A110" s="89"/>
      <c r="B110" s="42"/>
      <c r="C110" s="43" t="s">
        <v>39</v>
      </c>
      <c r="D110" s="45" t="s">
        <v>83</v>
      </c>
      <c r="E110" s="121">
        <f>11*5.29</f>
        <v>58.19</v>
      </c>
      <c r="F110" s="175"/>
      <c r="G110" s="95"/>
    </row>
    <row r="111" spans="1:7" x14ac:dyDescent="0.2">
      <c r="A111" s="89"/>
      <c r="B111" s="42"/>
      <c r="C111" s="43" t="s">
        <v>81</v>
      </c>
      <c r="D111" s="45" t="s">
        <v>84</v>
      </c>
      <c r="E111" s="121">
        <f>5*5.29</f>
        <v>26.45</v>
      </c>
      <c r="F111" s="175"/>
      <c r="G111" s="95"/>
    </row>
    <row r="112" spans="1:7" x14ac:dyDescent="0.2">
      <c r="A112" s="89"/>
      <c r="B112" s="42"/>
      <c r="C112" s="43" t="s">
        <v>198</v>
      </c>
      <c r="D112" s="45" t="s">
        <v>197</v>
      </c>
      <c r="E112" s="121">
        <f>2*13</f>
        <v>26</v>
      </c>
      <c r="F112" s="175"/>
      <c r="G112" s="95"/>
    </row>
    <row r="113" spans="1:7" x14ac:dyDescent="0.2">
      <c r="A113" s="138"/>
      <c r="B113" s="42"/>
      <c r="C113" s="43" t="s">
        <v>189</v>
      </c>
      <c r="D113" s="45" t="s">
        <v>190</v>
      </c>
      <c r="E113" s="121">
        <f>8*5</f>
        <v>40</v>
      </c>
      <c r="F113" s="175"/>
      <c r="G113" s="180"/>
    </row>
    <row r="114" spans="1:7" x14ac:dyDescent="0.2">
      <c r="A114" s="138"/>
      <c r="B114" s="42"/>
      <c r="C114" s="43" t="s">
        <v>118</v>
      </c>
      <c r="D114" s="45" t="s">
        <v>191</v>
      </c>
      <c r="E114" s="121">
        <f>8*16</f>
        <v>128</v>
      </c>
      <c r="F114" s="175"/>
      <c r="G114" s="180"/>
    </row>
    <row r="115" spans="1:7" x14ac:dyDescent="0.2">
      <c r="A115" s="138"/>
      <c r="B115" s="42"/>
      <c r="C115" s="43" t="s">
        <v>192</v>
      </c>
      <c r="D115" s="45" t="s">
        <v>190</v>
      </c>
      <c r="E115" s="121">
        <f>8*5</f>
        <v>40</v>
      </c>
      <c r="F115" s="175"/>
      <c r="G115" s="180"/>
    </row>
    <row r="116" spans="1:7" x14ac:dyDescent="0.2">
      <c r="A116" s="138"/>
      <c r="B116" s="42"/>
      <c r="C116" s="43" t="s">
        <v>193</v>
      </c>
      <c r="D116" s="45" t="s">
        <v>194</v>
      </c>
      <c r="E116" s="121">
        <f>20</f>
        <v>20</v>
      </c>
      <c r="F116" s="175"/>
      <c r="G116" s="180"/>
    </row>
    <row r="117" spans="1:7" x14ac:dyDescent="0.2">
      <c r="A117" s="138"/>
      <c r="B117" s="42"/>
      <c r="C117" s="43" t="s">
        <v>195</v>
      </c>
      <c r="D117" s="45" t="s">
        <v>196</v>
      </c>
      <c r="E117" s="121">
        <f>2*10</f>
        <v>20</v>
      </c>
      <c r="F117" s="175"/>
      <c r="G117" s="180"/>
    </row>
    <row r="118" spans="1:7" ht="13.5" thickBot="1" x14ac:dyDescent="0.25">
      <c r="A118" s="140"/>
      <c r="B118" s="36"/>
      <c r="C118" s="37" t="s">
        <v>40</v>
      </c>
      <c r="D118" s="46" t="s">
        <v>85</v>
      </c>
      <c r="E118" s="122">
        <f>1*17.7</f>
        <v>17.7</v>
      </c>
      <c r="F118" s="172"/>
      <c r="G118" s="96"/>
    </row>
    <row r="119" spans="1:7" ht="13.5" thickBot="1" x14ac:dyDescent="0.25">
      <c r="A119" s="284" t="s">
        <v>2</v>
      </c>
      <c r="B119" s="285"/>
      <c r="C119" s="285"/>
      <c r="D119" s="285"/>
      <c r="E119" s="299"/>
      <c r="F119" s="246">
        <f>SUM(F78:F118)</f>
        <v>2624.0911249999999</v>
      </c>
      <c r="G119" s="247">
        <f>SUM(G78:G118)</f>
        <v>1762.5</v>
      </c>
    </row>
    <row r="120" spans="1:7" ht="13.5" thickBot="1" x14ac:dyDescent="0.25">
      <c r="A120" s="271" t="s">
        <v>4</v>
      </c>
      <c r="B120" s="272"/>
      <c r="C120" s="273"/>
      <c r="D120" s="273"/>
      <c r="E120" s="155"/>
      <c r="F120" s="245">
        <f>SUM(F43+F51+F55+F58+F61+F76+F119)</f>
        <v>52528.121749999998</v>
      </c>
      <c r="G120" s="245">
        <f>SUM(G43+G51+G55+G58+G61+G76+G119)</f>
        <v>48385.540000000008</v>
      </c>
    </row>
  </sheetData>
  <mergeCells count="16">
    <mergeCell ref="A1:C1"/>
    <mergeCell ref="A43:E43"/>
    <mergeCell ref="A119:E119"/>
    <mergeCell ref="A120:D120"/>
    <mergeCell ref="A2:G2"/>
    <mergeCell ref="A77:G77"/>
    <mergeCell ref="A62:G62"/>
    <mergeCell ref="A59:G59"/>
    <mergeCell ref="A61:E61"/>
    <mergeCell ref="A76:E76"/>
    <mergeCell ref="A51:E51"/>
    <mergeCell ref="A55:E55"/>
    <mergeCell ref="A58:E58"/>
    <mergeCell ref="A56:G56"/>
    <mergeCell ref="A44:G44"/>
    <mergeCell ref="A52:G52"/>
  </mergeCells>
  <pageMargins left="0.25" right="0.25" top="0.75" bottom="0.75" header="0.3" footer="0.3"/>
  <pageSetup orientation="portrait" r:id="rId1"/>
  <headerFooter>
    <oddHeader>&amp;C&amp;"-,Bold"&amp;12Summer Summit 2011 Budget</oddHeader>
  </headerFooter>
  <ignoredErrors>
    <ignoredError sqref="E21 E11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Expedintures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</dc:creator>
  <cp:lastModifiedBy>Frida P. Alvear</cp:lastModifiedBy>
  <cp:lastPrinted>2010-04-08T03:30:35Z</cp:lastPrinted>
  <dcterms:created xsi:type="dcterms:W3CDTF">2009-04-01T19:47:13Z</dcterms:created>
  <dcterms:modified xsi:type="dcterms:W3CDTF">2011-10-12T18:48:49Z</dcterms:modified>
</cp:coreProperties>
</file>